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Mensais 07-12 MOD's" sheetId="3" r:id="rId1"/>
    <sheet name="Mod_3" sheetId="1" r:id="rId2"/>
    <sheet name="FimOcup._3" sheetId="4" r:id="rId3"/>
    <sheet name="Chillers_3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xlnm.Print_Area" localSheetId="3">Chillers_3!#REF!</definedName>
    <definedName name="_xlnm.Print_Area" localSheetId="2">FimOcup._3!#REF!</definedName>
    <definedName name="_xlnm.Print_Area" localSheetId="1">Mod_3!$AY$22:$BL$85</definedName>
  </definedNames>
  <calcPr calcId="145621"/>
</workbook>
</file>

<file path=xl/calcChain.xml><?xml version="1.0" encoding="utf-8"?>
<calcChain xmlns="http://schemas.openxmlformats.org/spreadsheetml/2006/main">
  <c r="I35" i="5" l="1"/>
  <c r="H35" i="5"/>
  <c r="E35" i="5"/>
  <c r="D35" i="5"/>
  <c r="I34" i="5"/>
  <c r="H34" i="5"/>
  <c r="E34" i="5"/>
  <c r="D34" i="5"/>
  <c r="I33" i="5"/>
  <c r="H33" i="5"/>
  <c r="E33" i="5"/>
  <c r="D33" i="5"/>
  <c r="I32" i="5"/>
  <c r="H32" i="5"/>
  <c r="E32" i="5"/>
  <c r="D32" i="5"/>
  <c r="I31" i="5"/>
  <c r="H31" i="5"/>
  <c r="E31" i="5"/>
  <c r="D31" i="5"/>
  <c r="I30" i="5"/>
  <c r="H30" i="5"/>
  <c r="E30" i="5"/>
  <c r="D30" i="5"/>
  <c r="I29" i="5"/>
  <c r="H29" i="5"/>
  <c r="E29" i="5"/>
  <c r="D29" i="5"/>
  <c r="I28" i="5"/>
  <c r="H28" i="5"/>
  <c r="E28" i="5"/>
  <c r="D28" i="5"/>
  <c r="I27" i="5"/>
  <c r="H27" i="5"/>
  <c r="E27" i="5"/>
  <c r="D27" i="5"/>
  <c r="I26" i="5"/>
  <c r="H26" i="5"/>
  <c r="E26" i="5"/>
  <c r="D26" i="5"/>
  <c r="I25" i="5"/>
  <c r="H25" i="5"/>
  <c r="E25" i="5"/>
  <c r="D25" i="5"/>
  <c r="I24" i="5"/>
  <c r="H24" i="5"/>
  <c r="E24" i="5"/>
  <c r="D24" i="5"/>
  <c r="I19" i="5"/>
  <c r="H19" i="5"/>
  <c r="E19" i="5"/>
  <c r="D19" i="5"/>
  <c r="I18" i="5"/>
  <c r="H18" i="5"/>
  <c r="E18" i="5"/>
  <c r="D18" i="5"/>
  <c r="I17" i="5"/>
  <c r="H17" i="5"/>
  <c r="E17" i="5"/>
  <c r="D17" i="5"/>
  <c r="I16" i="5"/>
  <c r="H16" i="5"/>
  <c r="E16" i="5"/>
  <c r="D16" i="5"/>
  <c r="I15" i="5"/>
  <c r="H15" i="5"/>
  <c r="E15" i="5"/>
  <c r="D15" i="5"/>
  <c r="I14" i="5"/>
  <c r="H14" i="5"/>
  <c r="E14" i="5"/>
  <c r="D14" i="5"/>
  <c r="I13" i="5"/>
  <c r="H13" i="5"/>
  <c r="E13" i="5"/>
  <c r="D13" i="5"/>
  <c r="I12" i="5"/>
  <c r="H12" i="5"/>
  <c r="E12" i="5"/>
  <c r="D12" i="5"/>
  <c r="I11" i="5"/>
  <c r="H11" i="5"/>
  <c r="E11" i="5"/>
  <c r="D11" i="5"/>
  <c r="I10" i="5"/>
  <c r="H10" i="5"/>
  <c r="E10" i="5"/>
  <c r="D10" i="5"/>
  <c r="I9" i="5"/>
  <c r="H9" i="5"/>
  <c r="E9" i="5"/>
  <c r="D9" i="5"/>
  <c r="I8" i="5"/>
  <c r="H8" i="5"/>
  <c r="E8" i="5"/>
  <c r="D8" i="5"/>
  <c r="I35" i="4"/>
  <c r="H35" i="4"/>
  <c r="E35" i="4"/>
  <c r="D35" i="4"/>
  <c r="I34" i="4"/>
  <c r="H34" i="4"/>
  <c r="E34" i="4"/>
  <c r="D34" i="4"/>
  <c r="I33" i="4"/>
  <c r="H33" i="4"/>
  <c r="E33" i="4"/>
  <c r="D33" i="4"/>
  <c r="I32" i="4"/>
  <c r="H32" i="4"/>
  <c r="E32" i="4"/>
  <c r="D32" i="4"/>
  <c r="I31" i="4"/>
  <c r="H31" i="4"/>
  <c r="E31" i="4"/>
  <c r="D31" i="4"/>
  <c r="I30" i="4"/>
  <c r="H30" i="4"/>
  <c r="E30" i="4"/>
  <c r="D30" i="4"/>
  <c r="I29" i="4"/>
  <c r="H29" i="4"/>
  <c r="E29" i="4"/>
  <c r="D29" i="4"/>
  <c r="I28" i="4"/>
  <c r="H28" i="4"/>
  <c r="E28" i="4"/>
  <c r="D28" i="4"/>
  <c r="I27" i="4"/>
  <c r="H27" i="4"/>
  <c r="E27" i="4"/>
  <c r="D27" i="4"/>
  <c r="I26" i="4"/>
  <c r="H26" i="4"/>
  <c r="E26" i="4"/>
  <c r="D26" i="4"/>
  <c r="I25" i="4"/>
  <c r="H25" i="4"/>
  <c r="E25" i="4"/>
  <c r="D25" i="4"/>
  <c r="I24" i="4"/>
  <c r="H24" i="4"/>
  <c r="E24" i="4"/>
  <c r="D24" i="4"/>
  <c r="I19" i="4"/>
  <c r="H19" i="4"/>
  <c r="E19" i="4"/>
  <c r="D19" i="4"/>
  <c r="I18" i="4"/>
  <c r="H18" i="4"/>
  <c r="E18" i="4"/>
  <c r="D18" i="4"/>
  <c r="I17" i="4"/>
  <c r="H17" i="4"/>
  <c r="E17" i="4"/>
  <c r="D17" i="4"/>
  <c r="I16" i="4"/>
  <c r="H16" i="4"/>
  <c r="E16" i="4"/>
  <c r="D16" i="4"/>
  <c r="I15" i="4"/>
  <c r="H15" i="4"/>
  <c r="E15" i="4"/>
  <c r="D15" i="4"/>
  <c r="I14" i="4"/>
  <c r="H14" i="4"/>
  <c r="E14" i="4"/>
  <c r="D14" i="4"/>
  <c r="I13" i="4"/>
  <c r="H13" i="4"/>
  <c r="E13" i="4"/>
  <c r="D13" i="4"/>
  <c r="I12" i="4"/>
  <c r="H12" i="4"/>
  <c r="E12" i="4"/>
  <c r="D12" i="4"/>
  <c r="I11" i="4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O66" i="3"/>
  <c r="N66" i="3"/>
  <c r="M66" i="3"/>
  <c r="L66" i="3"/>
  <c r="K66" i="3"/>
  <c r="J66" i="3"/>
  <c r="I66" i="3"/>
  <c r="H66" i="3"/>
  <c r="G66" i="3"/>
  <c r="F66" i="3"/>
  <c r="E66" i="3"/>
  <c r="D66" i="3"/>
  <c r="O65" i="3"/>
  <c r="N65" i="3"/>
  <c r="M65" i="3"/>
  <c r="L65" i="3"/>
  <c r="K65" i="3"/>
  <c r="J65" i="3"/>
  <c r="I65" i="3"/>
  <c r="H65" i="3"/>
  <c r="G65" i="3"/>
  <c r="F65" i="3"/>
  <c r="E65" i="3"/>
  <c r="D65" i="3"/>
  <c r="O64" i="3"/>
  <c r="N64" i="3"/>
  <c r="M64" i="3"/>
  <c r="L64" i="3"/>
  <c r="K64" i="3"/>
  <c r="J64" i="3"/>
  <c r="I64" i="3"/>
  <c r="H64" i="3"/>
  <c r="G64" i="3"/>
  <c r="F64" i="3"/>
  <c r="E64" i="3"/>
  <c r="D64" i="3"/>
  <c r="O63" i="3"/>
  <c r="N63" i="3"/>
  <c r="M63" i="3"/>
  <c r="L63" i="3"/>
  <c r="K63" i="3"/>
  <c r="J63" i="3"/>
  <c r="I63" i="3"/>
  <c r="H63" i="3"/>
  <c r="G63" i="3"/>
  <c r="F63" i="3"/>
  <c r="E63" i="3"/>
  <c r="D63" i="3"/>
  <c r="O62" i="3"/>
  <c r="N62" i="3"/>
  <c r="M62" i="3"/>
  <c r="L62" i="3"/>
  <c r="K62" i="3"/>
  <c r="J62" i="3"/>
  <c r="I62" i="3"/>
  <c r="H62" i="3"/>
  <c r="G62" i="3"/>
  <c r="F62" i="3"/>
  <c r="E62" i="3"/>
  <c r="D62" i="3"/>
  <c r="O61" i="3"/>
  <c r="N61" i="3"/>
  <c r="M61" i="3"/>
  <c r="L61" i="3"/>
  <c r="K61" i="3"/>
  <c r="J61" i="3"/>
  <c r="I61" i="3"/>
  <c r="H61" i="3"/>
  <c r="G61" i="3"/>
  <c r="F61" i="3"/>
  <c r="E61" i="3"/>
  <c r="D61" i="3"/>
  <c r="O60" i="3"/>
  <c r="N60" i="3"/>
  <c r="M60" i="3"/>
  <c r="L60" i="3"/>
  <c r="K60" i="3"/>
  <c r="J60" i="3"/>
  <c r="I60" i="3"/>
  <c r="H60" i="3"/>
  <c r="G60" i="3"/>
  <c r="F60" i="3"/>
  <c r="E60" i="3"/>
  <c r="D60" i="3"/>
  <c r="O59" i="3"/>
  <c r="N59" i="3"/>
  <c r="M59" i="3"/>
  <c r="L59" i="3"/>
  <c r="K59" i="3"/>
  <c r="J59" i="3"/>
  <c r="I59" i="3"/>
  <c r="H59" i="3"/>
  <c r="G59" i="3"/>
  <c r="F59" i="3"/>
  <c r="E59" i="3"/>
  <c r="D59" i="3"/>
  <c r="O58" i="3"/>
  <c r="N58" i="3"/>
  <c r="M58" i="3"/>
  <c r="L58" i="3"/>
  <c r="K58" i="3"/>
  <c r="J58" i="3"/>
  <c r="I58" i="3"/>
  <c r="H58" i="3"/>
  <c r="G58" i="3"/>
  <c r="F58" i="3"/>
  <c r="E58" i="3"/>
  <c r="D58" i="3"/>
  <c r="O57" i="3"/>
  <c r="N57" i="3"/>
  <c r="M57" i="3"/>
  <c r="L57" i="3"/>
  <c r="K57" i="3"/>
  <c r="J57" i="3"/>
  <c r="I57" i="3"/>
  <c r="H57" i="3"/>
  <c r="G57" i="3"/>
  <c r="F57" i="3"/>
  <c r="E57" i="3"/>
  <c r="D57" i="3"/>
  <c r="O56" i="3"/>
  <c r="N56" i="3"/>
  <c r="M56" i="3"/>
  <c r="L56" i="3"/>
  <c r="K56" i="3"/>
  <c r="J56" i="3"/>
  <c r="I56" i="3"/>
  <c r="H56" i="3"/>
  <c r="G56" i="3"/>
  <c r="F56" i="3"/>
  <c r="E56" i="3"/>
  <c r="D56" i="3"/>
  <c r="O55" i="3"/>
  <c r="N55" i="3"/>
  <c r="M55" i="3"/>
  <c r="L55" i="3"/>
  <c r="K55" i="3"/>
  <c r="J55" i="3"/>
  <c r="I55" i="3"/>
  <c r="H55" i="3"/>
  <c r="G55" i="3"/>
  <c r="F55" i="3"/>
  <c r="E55" i="3"/>
  <c r="D55" i="3"/>
  <c r="O54" i="3"/>
  <c r="N54" i="3"/>
  <c r="M54" i="3"/>
  <c r="L54" i="3"/>
  <c r="K54" i="3"/>
  <c r="J54" i="3"/>
  <c r="I54" i="3"/>
  <c r="H54" i="3"/>
  <c r="G54" i="3"/>
  <c r="F54" i="3"/>
  <c r="E54" i="3"/>
  <c r="D54" i="3"/>
  <c r="O53" i="3"/>
  <c r="N53" i="3"/>
  <c r="M53" i="3"/>
  <c r="L53" i="3"/>
  <c r="K53" i="3"/>
  <c r="J53" i="3"/>
  <c r="I53" i="3"/>
  <c r="H53" i="3"/>
  <c r="G53" i="3"/>
  <c r="F53" i="3"/>
  <c r="E53" i="3"/>
  <c r="D53" i="3"/>
  <c r="O52" i="3"/>
  <c r="N52" i="3"/>
  <c r="M52" i="3"/>
  <c r="L52" i="3"/>
  <c r="K52" i="3"/>
  <c r="J52" i="3"/>
  <c r="I52" i="3"/>
  <c r="H52" i="3"/>
  <c r="G52" i="3"/>
  <c r="F52" i="3"/>
  <c r="E52" i="3"/>
  <c r="D52" i="3"/>
  <c r="O51" i="3"/>
  <c r="N51" i="3"/>
  <c r="M51" i="3"/>
  <c r="L51" i="3"/>
  <c r="K51" i="3"/>
  <c r="J51" i="3"/>
  <c r="I51" i="3"/>
  <c r="H51" i="3"/>
  <c r="G51" i="3"/>
  <c r="F51" i="3"/>
  <c r="E51" i="3"/>
  <c r="D51" i="3"/>
  <c r="O50" i="3"/>
  <c r="N50" i="3"/>
  <c r="M50" i="3"/>
  <c r="L50" i="3"/>
  <c r="K50" i="3"/>
  <c r="J50" i="3"/>
  <c r="I50" i="3"/>
  <c r="H50" i="3"/>
  <c r="G50" i="3"/>
  <c r="F50" i="3"/>
  <c r="E50" i="3"/>
  <c r="D50" i="3"/>
  <c r="O49" i="3"/>
  <c r="N49" i="3"/>
  <c r="M49" i="3"/>
  <c r="L49" i="3"/>
  <c r="K49" i="3"/>
  <c r="J49" i="3"/>
  <c r="I49" i="3"/>
  <c r="H49" i="3"/>
  <c r="G49" i="3"/>
  <c r="F49" i="3"/>
  <c r="E49" i="3"/>
  <c r="D49" i="3"/>
  <c r="O44" i="3"/>
  <c r="N44" i="3"/>
  <c r="M44" i="3"/>
  <c r="L44" i="3"/>
  <c r="K44" i="3"/>
  <c r="J44" i="3"/>
  <c r="I44" i="3"/>
  <c r="H44" i="3"/>
  <c r="G44" i="3"/>
  <c r="F44" i="3"/>
  <c r="E44" i="3"/>
  <c r="D44" i="3"/>
  <c r="O43" i="3"/>
  <c r="N43" i="3"/>
  <c r="M43" i="3"/>
  <c r="L43" i="3"/>
  <c r="K43" i="3"/>
  <c r="J43" i="3"/>
  <c r="I43" i="3"/>
  <c r="H43" i="3"/>
  <c r="G43" i="3"/>
  <c r="F43" i="3"/>
  <c r="E43" i="3"/>
  <c r="D43" i="3"/>
  <c r="O42" i="3"/>
  <c r="N42" i="3"/>
  <c r="M42" i="3"/>
  <c r="L42" i="3"/>
  <c r="K42" i="3"/>
  <c r="J42" i="3"/>
  <c r="I42" i="3"/>
  <c r="H42" i="3"/>
  <c r="G42" i="3"/>
  <c r="F42" i="3"/>
  <c r="E42" i="3"/>
  <c r="D42" i="3"/>
  <c r="O41" i="3"/>
  <c r="N41" i="3"/>
  <c r="M41" i="3"/>
  <c r="L41" i="3"/>
  <c r="K41" i="3"/>
  <c r="J41" i="3"/>
  <c r="I41" i="3"/>
  <c r="H41" i="3"/>
  <c r="G41" i="3"/>
  <c r="F41" i="3"/>
  <c r="E41" i="3"/>
  <c r="D41" i="3"/>
  <c r="O40" i="3"/>
  <c r="N40" i="3"/>
  <c r="M40" i="3"/>
  <c r="L40" i="3"/>
  <c r="K40" i="3"/>
  <c r="J40" i="3"/>
  <c r="I40" i="3"/>
  <c r="H40" i="3"/>
  <c r="G40" i="3"/>
  <c r="F40" i="3"/>
  <c r="E40" i="3"/>
  <c r="D40" i="3"/>
  <c r="O39" i="3"/>
  <c r="N39" i="3"/>
  <c r="M39" i="3"/>
  <c r="L39" i="3"/>
  <c r="K39" i="3"/>
  <c r="J39" i="3"/>
  <c r="I39" i="3"/>
  <c r="H39" i="3"/>
  <c r="G39" i="3"/>
  <c r="F39" i="3"/>
  <c r="E39" i="3"/>
  <c r="D39" i="3"/>
  <c r="O38" i="3"/>
  <c r="N38" i="3"/>
  <c r="M38" i="3"/>
  <c r="L38" i="3"/>
  <c r="K38" i="3"/>
  <c r="J38" i="3"/>
  <c r="I38" i="3"/>
  <c r="H38" i="3"/>
  <c r="G38" i="3"/>
  <c r="F38" i="3"/>
  <c r="E38" i="3"/>
  <c r="D38" i="3"/>
  <c r="O37" i="3"/>
  <c r="N37" i="3"/>
  <c r="M37" i="3"/>
  <c r="L37" i="3"/>
  <c r="K37" i="3"/>
  <c r="J37" i="3"/>
  <c r="I37" i="3"/>
  <c r="H37" i="3"/>
  <c r="G37" i="3"/>
  <c r="F37" i="3"/>
  <c r="E37" i="3"/>
  <c r="D37" i="3"/>
  <c r="O36" i="3"/>
  <c r="N36" i="3"/>
  <c r="M36" i="3"/>
  <c r="L36" i="3"/>
  <c r="K36" i="3"/>
  <c r="J36" i="3"/>
  <c r="I36" i="3"/>
  <c r="H36" i="3"/>
  <c r="G36" i="3"/>
  <c r="F36" i="3"/>
  <c r="E36" i="3"/>
  <c r="D36" i="3"/>
  <c r="O35" i="3"/>
  <c r="N35" i="3"/>
  <c r="M35" i="3"/>
  <c r="L35" i="3"/>
  <c r="K35" i="3"/>
  <c r="J35" i="3"/>
  <c r="I35" i="3"/>
  <c r="H35" i="3"/>
  <c r="G35" i="3"/>
  <c r="F35" i="3"/>
  <c r="E35" i="3"/>
  <c r="D35" i="3"/>
  <c r="O34" i="3"/>
  <c r="N34" i="3"/>
  <c r="M34" i="3"/>
  <c r="L34" i="3"/>
  <c r="K34" i="3"/>
  <c r="J34" i="3"/>
  <c r="I34" i="3"/>
  <c r="H34" i="3"/>
  <c r="G34" i="3"/>
  <c r="F34" i="3"/>
  <c r="E34" i="3"/>
  <c r="D34" i="3"/>
  <c r="O33" i="3"/>
  <c r="N33" i="3"/>
  <c r="M33" i="3"/>
  <c r="L33" i="3"/>
  <c r="K33" i="3"/>
  <c r="J33" i="3"/>
  <c r="I33" i="3"/>
  <c r="H33" i="3"/>
  <c r="G33" i="3"/>
  <c r="F33" i="3"/>
  <c r="E33" i="3"/>
  <c r="D33" i="3"/>
  <c r="O32" i="3"/>
  <c r="N32" i="3"/>
  <c r="M32" i="3"/>
  <c r="L32" i="3"/>
  <c r="K32" i="3"/>
  <c r="J32" i="3"/>
  <c r="I32" i="3"/>
  <c r="H32" i="3"/>
  <c r="G32" i="3"/>
  <c r="F32" i="3"/>
  <c r="E32" i="3"/>
  <c r="D32" i="3"/>
  <c r="O31" i="3"/>
  <c r="N31" i="3"/>
  <c r="M31" i="3"/>
  <c r="L31" i="3"/>
  <c r="K31" i="3"/>
  <c r="J31" i="3"/>
  <c r="I31" i="3"/>
  <c r="H31" i="3"/>
  <c r="G31" i="3"/>
  <c r="F31" i="3"/>
  <c r="E31" i="3"/>
  <c r="D31" i="3"/>
  <c r="O30" i="3"/>
  <c r="N30" i="3"/>
  <c r="M30" i="3"/>
  <c r="L30" i="3"/>
  <c r="K30" i="3"/>
  <c r="J30" i="3"/>
  <c r="I30" i="3"/>
  <c r="H30" i="3"/>
  <c r="G30" i="3"/>
  <c r="F30" i="3"/>
  <c r="E30" i="3"/>
  <c r="D30" i="3"/>
  <c r="O29" i="3"/>
  <c r="N29" i="3"/>
  <c r="M29" i="3"/>
  <c r="L29" i="3"/>
  <c r="K29" i="3"/>
  <c r="J29" i="3"/>
  <c r="I29" i="3"/>
  <c r="H29" i="3"/>
  <c r="G29" i="3"/>
  <c r="F29" i="3"/>
  <c r="E29" i="3"/>
  <c r="D29" i="3"/>
  <c r="O28" i="3"/>
  <c r="N28" i="3"/>
  <c r="M28" i="3"/>
  <c r="L28" i="3"/>
  <c r="K28" i="3"/>
  <c r="J28" i="3"/>
  <c r="I28" i="3"/>
  <c r="H28" i="3"/>
  <c r="G28" i="3"/>
  <c r="F28" i="3"/>
  <c r="E28" i="3"/>
  <c r="D28" i="3"/>
  <c r="O27" i="3"/>
  <c r="N27" i="3"/>
  <c r="M27" i="3"/>
  <c r="L27" i="3"/>
  <c r="K27" i="3"/>
  <c r="J27" i="3"/>
  <c r="I27" i="3"/>
  <c r="H27" i="3"/>
  <c r="G27" i="3"/>
  <c r="F27" i="3"/>
  <c r="E27" i="3"/>
  <c r="D27" i="3"/>
  <c r="O22" i="3"/>
  <c r="N22" i="3"/>
  <c r="M22" i="3"/>
  <c r="L22" i="3"/>
  <c r="K22" i="3"/>
  <c r="J22" i="3"/>
  <c r="I22" i="3"/>
  <c r="H22" i="3"/>
  <c r="G22" i="3"/>
  <c r="F22" i="3"/>
  <c r="E22" i="3"/>
  <c r="D22" i="3"/>
  <c r="O21" i="3"/>
  <c r="N21" i="3"/>
  <c r="M21" i="3"/>
  <c r="L21" i="3"/>
  <c r="K21" i="3"/>
  <c r="J21" i="3"/>
  <c r="I21" i="3"/>
  <c r="H21" i="3"/>
  <c r="G21" i="3"/>
  <c r="F21" i="3"/>
  <c r="E21" i="3"/>
  <c r="D21" i="3"/>
  <c r="O20" i="3"/>
  <c r="N20" i="3"/>
  <c r="M20" i="3"/>
  <c r="L20" i="3"/>
  <c r="K20" i="3"/>
  <c r="J20" i="3"/>
  <c r="I20" i="3"/>
  <c r="H20" i="3"/>
  <c r="G20" i="3"/>
  <c r="F20" i="3"/>
  <c r="E20" i="3"/>
  <c r="D20" i="3"/>
  <c r="O19" i="3"/>
  <c r="N19" i="3"/>
  <c r="M19" i="3"/>
  <c r="L19" i="3"/>
  <c r="K19" i="3"/>
  <c r="J19" i="3"/>
  <c r="I19" i="3"/>
  <c r="H19" i="3"/>
  <c r="G19" i="3"/>
  <c r="F19" i="3"/>
  <c r="E19" i="3"/>
  <c r="D19" i="3"/>
  <c r="O18" i="3"/>
  <c r="N18" i="3"/>
  <c r="M18" i="3"/>
  <c r="L18" i="3"/>
  <c r="K18" i="3"/>
  <c r="J18" i="3"/>
  <c r="I18" i="3"/>
  <c r="H18" i="3"/>
  <c r="G18" i="3"/>
  <c r="F18" i="3"/>
  <c r="E18" i="3"/>
  <c r="D18" i="3"/>
  <c r="O17" i="3"/>
  <c r="N17" i="3"/>
  <c r="M17" i="3"/>
  <c r="L17" i="3"/>
  <c r="K17" i="3"/>
  <c r="J17" i="3"/>
  <c r="I17" i="3"/>
  <c r="H17" i="3"/>
  <c r="G17" i="3"/>
  <c r="F17" i="3"/>
  <c r="E17" i="3"/>
  <c r="D17" i="3"/>
  <c r="O16" i="3"/>
  <c r="N16" i="3"/>
  <c r="M16" i="3"/>
  <c r="L16" i="3"/>
  <c r="K16" i="3"/>
  <c r="J16" i="3"/>
  <c r="I16" i="3"/>
  <c r="H16" i="3"/>
  <c r="G16" i="3"/>
  <c r="F16" i="3"/>
  <c r="E16" i="3"/>
  <c r="D16" i="3"/>
  <c r="O15" i="3"/>
  <c r="N15" i="3"/>
  <c r="M15" i="3"/>
  <c r="L15" i="3"/>
  <c r="K15" i="3"/>
  <c r="J15" i="3"/>
  <c r="I15" i="3"/>
  <c r="H15" i="3"/>
  <c r="G15" i="3"/>
  <c r="F15" i="3"/>
  <c r="E15" i="3"/>
  <c r="D15" i="3"/>
  <c r="O14" i="3"/>
  <c r="N14" i="3"/>
  <c r="M14" i="3"/>
  <c r="L14" i="3"/>
  <c r="K14" i="3"/>
  <c r="J14" i="3"/>
  <c r="I14" i="3"/>
  <c r="H14" i="3"/>
  <c r="G14" i="3"/>
  <c r="F14" i="3"/>
  <c r="E14" i="3"/>
  <c r="D14" i="3"/>
  <c r="O13" i="3"/>
  <c r="N13" i="3"/>
  <c r="M13" i="3"/>
  <c r="L13" i="3"/>
  <c r="K13" i="3"/>
  <c r="J13" i="3"/>
  <c r="I13" i="3"/>
  <c r="H13" i="3"/>
  <c r="G13" i="3"/>
  <c r="F13" i="3"/>
  <c r="E13" i="3"/>
  <c r="D13" i="3"/>
  <c r="O12" i="3"/>
  <c r="N12" i="3"/>
  <c r="M12" i="3"/>
  <c r="L12" i="3"/>
  <c r="K12" i="3"/>
  <c r="J12" i="3"/>
  <c r="I12" i="3"/>
  <c r="H12" i="3"/>
  <c r="G12" i="3"/>
  <c r="F12" i="3"/>
  <c r="E12" i="3"/>
  <c r="D12" i="3"/>
  <c r="O11" i="3"/>
  <c r="N11" i="3"/>
  <c r="M11" i="3"/>
  <c r="L11" i="3"/>
  <c r="K11" i="3"/>
  <c r="J11" i="3"/>
  <c r="I11" i="3"/>
  <c r="H11" i="3"/>
  <c r="G11" i="3"/>
  <c r="F11" i="3"/>
  <c r="E11" i="3"/>
  <c r="D11" i="3"/>
  <c r="O10" i="3"/>
  <c r="N10" i="3"/>
  <c r="M10" i="3"/>
  <c r="L10" i="3"/>
  <c r="K10" i="3"/>
  <c r="J10" i="3"/>
  <c r="I10" i="3"/>
  <c r="H10" i="3"/>
  <c r="G10" i="3"/>
  <c r="F10" i="3"/>
  <c r="E10" i="3"/>
  <c r="D10" i="3"/>
  <c r="O9" i="3"/>
  <c r="N9" i="3"/>
  <c r="M9" i="3"/>
  <c r="L9" i="3"/>
  <c r="K9" i="3"/>
  <c r="J9" i="3"/>
  <c r="I9" i="3"/>
  <c r="H9" i="3"/>
  <c r="G9" i="3"/>
  <c r="F9" i="3"/>
  <c r="E9" i="3"/>
  <c r="D9" i="3"/>
  <c r="O8" i="3"/>
  <c r="N8" i="3"/>
  <c r="M8" i="3"/>
  <c r="L8" i="3"/>
  <c r="K8" i="3"/>
  <c r="J8" i="3"/>
  <c r="I8" i="3"/>
  <c r="H8" i="3"/>
  <c r="G8" i="3"/>
  <c r="F8" i="3"/>
  <c r="E8" i="3"/>
  <c r="D8" i="3"/>
  <c r="O7" i="3"/>
  <c r="N7" i="3"/>
  <c r="M7" i="3"/>
  <c r="L7" i="3"/>
  <c r="K7" i="3"/>
  <c r="J7" i="3"/>
  <c r="I7" i="3"/>
  <c r="H7" i="3"/>
  <c r="G7" i="3"/>
  <c r="F7" i="3"/>
  <c r="E7" i="3"/>
  <c r="D7" i="3"/>
  <c r="O6" i="3"/>
  <c r="N6" i="3"/>
  <c r="M6" i="3"/>
  <c r="L6" i="3"/>
  <c r="K6" i="3"/>
  <c r="J6" i="3"/>
  <c r="I6" i="3"/>
  <c r="H6" i="3"/>
  <c r="G6" i="3"/>
  <c r="F6" i="3"/>
  <c r="E6" i="3"/>
  <c r="D6" i="3"/>
  <c r="O5" i="3"/>
  <c r="N5" i="3"/>
  <c r="M5" i="3"/>
  <c r="L5" i="3"/>
  <c r="K5" i="3"/>
  <c r="J5" i="3"/>
  <c r="I5" i="3"/>
  <c r="H5" i="3"/>
  <c r="G5" i="3"/>
  <c r="F5" i="3"/>
  <c r="E5" i="3"/>
  <c r="D5" i="3"/>
  <c r="N76" i="1"/>
  <c r="K76" i="1"/>
  <c r="H76" i="1"/>
  <c r="E76" i="1"/>
  <c r="L76" i="1" s="1"/>
  <c r="D76" i="1"/>
  <c r="N75" i="1"/>
  <c r="K75" i="1"/>
  <c r="H75" i="1"/>
  <c r="E75" i="1"/>
  <c r="D75" i="1"/>
  <c r="N74" i="1"/>
  <c r="K74" i="1"/>
  <c r="H74" i="1"/>
  <c r="E74" i="1"/>
  <c r="D74" i="1"/>
  <c r="N73" i="1"/>
  <c r="K73" i="1"/>
  <c r="H73" i="1"/>
  <c r="E73" i="1"/>
  <c r="D73" i="1"/>
  <c r="N72" i="1"/>
  <c r="K72" i="1"/>
  <c r="H72" i="1"/>
  <c r="E72" i="1"/>
  <c r="D72" i="1"/>
  <c r="N71" i="1"/>
  <c r="K71" i="1"/>
  <c r="H71" i="1"/>
  <c r="E71" i="1"/>
  <c r="D71" i="1"/>
  <c r="N70" i="1"/>
  <c r="K70" i="1"/>
  <c r="H70" i="1"/>
  <c r="E70" i="1"/>
  <c r="D70" i="1"/>
  <c r="N69" i="1"/>
  <c r="K69" i="1"/>
  <c r="H69" i="1"/>
  <c r="E69" i="1"/>
  <c r="D69" i="1"/>
  <c r="N68" i="1"/>
  <c r="K68" i="1"/>
  <c r="H68" i="1"/>
  <c r="E68" i="1"/>
  <c r="D68" i="1"/>
  <c r="N67" i="1"/>
  <c r="K67" i="1"/>
  <c r="H67" i="1"/>
  <c r="E67" i="1"/>
  <c r="AW67" i="1" s="1"/>
  <c r="D67" i="1"/>
  <c r="N66" i="1"/>
  <c r="K66" i="1"/>
  <c r="H66" i="1"/>
  <c r="E66" i="1"/>
  <c r="AW66" i="1" s="1"/>
  <c r="D66" i="1"/>
  <c r="N65" i="1"/>
  <c r="K65" i="1"/>
  <c r="H65" i="1"/>
  <c r="E65" i="1"/>
  <c r="AW65" i="1" s="1"/>
  <c r="BK29" i="1" s="1"/>
  <c r="D65" i="1"/>
  <c r="N64" i="1"/>
  <c r="K64" i="1"/>
  <c r="H64" i="1"/>
  <c r="E64" i="1"/>
  <c r="D64" i="1"/>
  <c r="N63" i="1"/>
  <c r="K63" i="1"/>
  <c r="H63" i="1"/>
  <c r="E63" i="1"/>
  <c r="D63" i="1"/>
  <c r="N62" i="1"/>
  <c r="K62" i="1"/>
  <c r="H62" i="1"/>
  <c r="E62" i="1"/>
  <c r="D62" i="1"/>
  <c r="N61" i="1"/>
  <c r="K61" i="1"/>
  <c r="H61" i="1"/>
  <c r="E61" i="1"/>
  <c r="D61" i="1"/>
  <c r="N60" i="1"/>
  <c r="K60" i="1"/>
  <c r="Q60" i="1" s="1"/>
  <c r="H60" i="1"/>
  <c r="E60" i="1"/>
  <c r="D60" i="1"/>
  <c r="N59" i="1"/>
  <c r="K59" i="1"/>
  <c r="H59" i="1"/>
  <c r="E59" i="1"/>
  <c r="D59" i="1"/>
  <c r="N58" i="1"/>
  <c r="K58" i="1"/>
  <c r="Q58" i="1" s="1"/>
  <c r="H58" i="1"/>
  <c r="E58" i="1"/>
  <c r="D58" i="1"/>
  <c r="N57" i="1"/>
  <c r="K57" i="1"/>
  <c r="H57" i="1"/>
  <c r="E57" i="1"/>
  <c r="D57" i="1"/>
  <c r="N56" i="1"/>
  <c r="K56" i="1"/>
  <c r="H56" i="1"/>
  <c r="E56" i="1"/>
  <c r="D56" i="1"/>
  <c r="N55" i="1"/>
  <c r="K55" i="1"/>
  <c r="H55" i="1"/>
  <c r="E55" i="1"/>
  <c r="D55" i="1"/>
  <c r="N54" i="1"/>
  <c r="K54" i="1"/>
  <c r="Q54" i="1" s="1"/>
  <c r="H54" i="1"/>
  <c r="E54" i="1"/>
  <c r="AW54" i="1" s="1"/>
  <c r="D54" i="1"/>
  <c r="N53" i="1"/>
  <c r="K53" i="1"/>
  <c r="H53" i="1"/>
  <c r="E53" i="1"/>
  <c r="AW53" i="1" s="1"/>
  <c r="D53" i="1"/>
  <c r="N52" i="1"/>
  <c r="K52" i="1"/>
  <c r="H52" i="1"/>
  <c r="E52" i="1"/>
  <c r="D52" i="1"/>
  <c r="N51" i="1"/>
  <c r="K51" i="1"/>
  <c r="H51" i="1"/>
  <c r="E51" i="1"/>
  <c r="D51" i="1"/>
  <c r="N50" i="1"/>
  <c r="K50" i="1"/>
  <c r="H50" i="1"/>
  <c r="E50" i="1"/>
  <c r="D50" i="1"/>
  <c r="N49" i="1"/>
  <c r="K49" i="1"/>
  <c r="H49" i="1"/>
  <c r="E49" i="1"/>
  <c r="D49" i="1"/>
  <c r="N48" i="1"/>
  <c r="K48" i="1"/>
  <c r="H48" i="1"/>
  <c r="E48" i="1"/>
  <c r="D48" i="1"/>
  <c r="N47" i="1"/>
  <c r="K47" i="1"/>
  <c r="H47" i="1"/>
  <c r="E47" i="1"/>
  <c r="D47" i="1"/>
  <c r="N46" i="1"/>
  <c r="K46" i="1"/>
  <c r="Q46" i="1" s="1"/>
  <c r="H46" i="1"/>
  <c r="E46" i="1"/>
  <c r="D46" i="1"/>
  <c r="N45" i="1"/>
  <c r="K45" i="1"/>
  <c r="H45" i="1"/>
  <c r="E45" i="1"/>
  <c r="D45" i="1"/>
  <c r="N44" i="1"/>
  <c r="K44" i="1"/>
  <c r="H44" i="1"/>
  <c r="E44" i="1"/>
  <c r="D44" i="1"/>
  <c r="N43" i="1"/>
  <c r="K43" i="1"/>
  <c r="H43" i="1"/>
  <c r="E43" i="1"/>
  <c r="AW43" i="1" s="1"/>
  <c r="D43" i="1"/>
  <c r="N42" i="1"/>
  <c r="K42" i="1"/>
  <c r="H42" i="1"/>
  <c r="E42" i="1"/>
  <c r="D42" i="1"/>
  <c r="N41" i="1"/>
  <c r="K41" i="1"/>
  <c r="H41" i="1"/>
  <c r="E41" i="1"/>
  <c r="AW41" i="1" s="1"/>
  <c r="D41" i="1"/>
  <c r="N40" i="1"/>
  <c r="K40" i="1"/>
  <c r="H40" i="1"/>
  <c r="E40" i="1"/>
  <c r="D40" i="1"/>
  <c r="N39" i="1"/>
  <c r="K39" i="1"/>
  <c r="H39" i="1"/>
  <c r="E39" i="1"/>
  <c r="D39" i="1"/>
  <c r="N38" i="1"/>
  <c r="K38" i="1"/>
  <c r="H38" i="1"/>
  <c r="E38" i="1"/>
  <c r="D38" i="1"/>
  <c r="N37" i="1"/>
  <c r="K37" i="1"/>
  <c r="H37" i="1"/>
  <c r="E37" i="1"/>
  <c r="D37" i="1"/>
  <c r="N36" i="1"/>
  <c r="K36" i="1"/>
  <c r="H36" i="1"/>
  <c r="E36" i="1"/>
  <c r="D36" i="1"/>
  <c r="N35" i="1"/>
  <c r="K35" i="1"/>
  <c r="H35" i="1"/>
  <c r="E35" i="1"/>
  <c r="D35" i="1"/>
  <c r="N34" i="1"/>
  <c r="K34" i="1"/>
  <c r="H34" i="1"/>
  <c r="E34" i="1"/>
  <c r="D34" i="1"/>
  <c r="N33" i="1"/>
  <c r="K33" i="1"/>
  <c r="H33" i="1"/>
  <c r="E33" i="1"/>
  <c r="D33" i="1"/>
  <c r="N32" i="1"/>
  <c r="K32" i="1"/>
  <c r="H32" i="1"/>
  <c r="Q32" i="1" s="1"/>
  <c r="E32" i="1"/>
  <c r="D32" i="1"/>
  <c r="N31" i="1"/>
  <c r="K31" i="1"/>
  <c r="H31" i="1"/>
  <c r="E31" i="1"/>
  <c r="D31" i="1"/>
  <c r="N30" i="1"/>
  <c r="K30" i="1"/>
  <c r="H30" i="1"/>
  <c r="E30" i="1"/>
  <c r="D30" i="1"/>
  <c r="N29" i="1"/>
  <c r="K29" i="1"/>
  <c r="H29" i="1"/>
  <c r="E29" i="1"/>
  <c r="AW29" i="1" s="1"/>
  <c r="D29" i="1"/>
  <c r="N28" i="1"/>
  <c r="K28" i="1"/>
  <c r="H28" i="1"/>
  <c r="E28" i="1"/>
  <c r="D28" i="1"/>
  <c r="N27" i="1"/>
  <c r="K27" i="1"/>
  <c r="H27" i="1"/>
  <c r="E27" i="1"/>
  <c r="D27" i="1"/>
  <c r="N26" i="1"/>
  <c r="K26" i="1"/>
  <c r="H26" i="1"/>
  <c r="E26" i="1"/>
  <c r="D26" i="1"/>
  <c r="N25" i="1"/>
  <c r="K25" i="1"/>
  <c r="H25" i="1"/>
  <c r="E25" i="1"/>
  <c r="D25" i="1"/>
  <c r="N24" i="1"/>
  <c r="K24" i="1"/>
  <c r="H24" i="1"/>
  <c r="E24" i="1"/>
  <c r="D24" i="1"/>
  <c r="N23" i="1"/>
  <c r="K23" i="1"/>
  <c r="H23" i="1"/>
  <c r="E23" i="1"/>
  <c r="D23" i="1"/>
  <c r="N22" i="1"/>
  <c r="K22" i="1"/>
  <c r="H22" i="1"/>
  <c r="E22" i="1"/>
  <c r="D22" i="1"/>
  <c r="N21" i="1"/>
  <c r="K21" i="1"/>
  <c r="H21" i="1"/>
  <c r="E21" i="1"/>
  <c r="D21" i="1"/>
  <c r="N20" i="1"/>
  <c r="K20" i="1"/>
  <c r="H20" i="1"/>
  <c r="E20" i="1"/>
  <c r="D20" i="1"/>
  <c r="N19" i="1"/>
  <c r="K19" i="1"/>
  <c r="H19" i="1"/>
  <c r="E19" i="1"/>
  <c r="D19" i="1"/>
  <c r="N18" i="1"/>
  <c r="K18" i="1"/>
  <c r="H18" i="1"/>
  <c r="E18" i="1"/>
  <c r="D18" i="1"/>
  <c r="N17" i="1"/>
  <c r="K17" i="1"/>
  <c r="H17" i="1"/>
  <c r="E17" i="1"/>
  <c r="D17" i="1"/>
  <c r="N16" i="1"/>
  <c r="K16" i="1"/>
  <c r="H16" i="1"/>
  <c r="E16" i="1"/>
  <c r="D16" i="1"/>
  <c r="N15" i="1"/>
  <c r="K15" i="1"/>
  <c r="H15" i="1"/>
  <c r="E15" i="1"/>
  <c r="D15" i="1"/>
  <c r="N14" i="1"/>
  <c r="K14" i="1"/>
  <c r="H14" i="1"/>
  <c r="E14" i="1"/>
  <c r="D14" i="1"/>
  <c r="N13" i="1"/>
  <c r="K13" i="1"/>
  <c r="H13" i="1"/>
  <c r="E13" i="1"/>
  <c r="D13" i="1"/>
  <c r="N12" i="1"/>
  <c r="K12" i="1"/>
  <c r="H12" i="1"/>
  <c r="E12" i="1"/>
  <c r="D12" i="1"/>
  <c r="N11" i="1"/>
  <c r="K11" i="1"/>
  <c r="H11" i="1"/>
  <c r="E11" i="1"/>
  <c r="D11" i="1"/>
  <c r="AJ10" i="1"/>
  <c r="N10" i="1"/>
  <c r="L10" i="1"/>
  <c r="K10" i="1"/>
  <c r="H10" i="1"/>
  <c r="E10" i="1"/>
  <c r="D10" i="1"/>
  <c r="N9" i="1"/>
  <c r="K9" i="1"/>
  <c r="H9" i="1"/>
  <c r="E9" i="1"/>
  <c r="D9" i="1"/>
  <c r="N8" i="1"/>
  <c r="K8" i="1"/>
  <c r="H8" i="1"/>
  <c r="E8" i="1"/>
  <c r="D8" i="1"/>
  <c r="N7" i="1"/>
  <c r="K7" i="1"/>
  <c r="H7" i="1"/>
  <c r="E7" i="1"/>
  <c r="D7" i="1"/>
  <c r="N6" i="1"/>
  <c r="K6" i="1"/>
  <c r="H6" i="1"/>
  <c r="F6" i="1"/>
  <c r="F22" i="1" s="1"/>
  <c r="E6" i="1"/>
  <c r="D6" i="1"/>
  <c r="G6" i="1" s="1"/>
  <c r="AW5" i="1"/>
  <c r="AJ5" i="1"/>
  <c r="N5" i="1"/>
  <c r="P5" i="1" s="1"/>
  <c r="K5" i="1"/>
  <c r="L5" i="1" s="1"/>
  <c r="H5" i="1"/>
  <c r="J5" i="1" s="1"/>
  <c r="G5" i="1"/>
  <c r="Q50" i="1" l="1"/>
  <c r="Q56" i="1"/>
  <c r="I61" i="1"/>
  <c r="O61" i="1"/>
  <c r="I5" i="1"/>
  <c r="L11" i="1"/>
  <c r="L13" i="1"/>
  <c r="L15" i="1"/>
  <c r="L17" i="1"/>
  <c r="L19" i="1"/>
  <c r="L21" i="1"/>
  <c r="I42" i="1"/>
  <c r="Q48" i="1"/>
  <c r="Q52" i="1"/>
  <c r="R52" i="1" s="1"/>
  <c r="L72" i="1"/>
  <c r="L12" i="1"/>
  <c r="L14" i="1"/>
  <c r="L16" i="1"/>
  <c r="L18" i="1"/>
  <c r="L20" i="1"/>
  <c r="L22" i="1"/>
  <c r="L32" i="1"/>
  <c r="I41" i="1"/>
  <c r="J6" i="1"/>
  <c r="P6" i="1"/>
  <c r="O20" i="1"/>
  <c r="O21" i="1"/>
  <c r="O22" i="1"/>
  <c r="L23" i="1"/>
  <c r="L26" i="1"/>
  <c r="L27" i="1"/>
  <c r="L28" i="1"/>
  <c r="L29" i="1"/>
  <c r="L31" i="1"/>
  <c r="L34" i="1"/>
  <c r="L36" i="1"/>
  <c r="L38" i="1"/>
  <c r="Q42" i="1"/>
  <c r="L63" i="1"/>
  <c r="L65" i="1"/>
  <c r="L67" i="1"/>
  <c r="L69" i="1"/>
  <c r="L74" i="1"/>
  <c r="O5" i="1"/>
  <c r="L6" i="1"/>
  <c r="AJ6" i="1"/>
  <c r="L7" i="1"/>
  <c r="AJ7" i="1"/>
  <c r="L8" i="1"/>
  <c r="AJ8" i="1"/>
  <c r="AJ9" i="1"/>
  <c r="L24" i="1"/>
  <c r="L25" i="1"/>
  <c r="L30" i="1"/>
  <c r="O32" i="1"/>
  <c r="L33" i="1"/>
  <c r="L35" i="1"/>
  <c r="L37" i="1"/>
  <c r="Q43" i="1"/>
  <c r="Q44" i="1"/>
  <c r="Q45" i="1"/>
  <c r="R45" i="1" s="1"/>
  <c r="Q47" i="1"/>
  <c r="Q49" i="1"/>
  <c r="R49" i="1" s="1"/>
  <c r="Q51" i="1"/>
  <c r="Q53" i="1"/>
  <c r="R53" i="1" s="1"/>
  <c r="Q55" i="1"/>
  <c r="Q57" i="1"/>
  <c r="R57" i="1" s="1"/>
  <c r="Q59" i="1"/>
  <c r="L62" i="1"/>
  <c r="L64" i="1"/>
  <c r="L66" i="1"/>
  <c r="L68" i="1"/>
  <c r="L75" i="1"/>
  <c r="J22" i="1"/>
  <c r="Q5" i="1"/>
  <c r="E79" i="1"/>
  <c r="E78" i="1"/>
  <c r="I6" i="1"/>
  <c r="M6" i="1"/>
  <c r="O6" i="1"/>
  <c r="Q6" i="1"/>
  <c r="AW6" i="1"/>
  <c r="I7" i="1"/>
  <c r="O7" i="1"/>
  <c r="Q7" i="1"/>
  <c r="AW7" i="1"/>
  <c r="I8" i="1"/>
  <c r="O8" i="1"/>
  <c r="Q8" i="1"/>
  <c r="AW8" i="1"/>
  <c r="I9" i="1"/>
  <c r="O9" i="1"/>
  <c r="Q9" i="1"/>
  <c r="AW9" i="1"/>
  <c r="I10" i="1"/>
  <c r="O10" i="1"/>
  <c r="Q10" i="1"/>
  <c r="AW10" i="1"/>
  <c r="I11" i="1"/>
  <c r="O11" i="1"/>
  <c r="Q11" i="1"/>
  <c r="AW11" i="1"/>
  <c r="I12" i="1"/>
  <c r="O12" i="1"/>
  <c r="Q12" i="1"/>
  <c r="AW12" i="1"/>
  <c r="I13" i="1"/>
  <c r="O13" i="1"/>
  <c r="Q13" i="1"/>
  <c r="AW13" i="1"/>
  <c r="I14" i="1"/>
  <c r="O14" i="1"/>
  <c r="Q14" i="1"/>
  <c r="AW14" i="1"/>
  <c r="I15" i="1"/>
  <c r="O15" i="1"/>
  <c r="Q15" i="1"/>
  <c r="AW15" i="1"/>
  <c r="I16" i="1"/>
  <c r="O16" i="1"/>
  <c r="Q16" i="1"/>
  <c r="AW16" i="1"/>
  <c r="I17" i="1"/>
  <c r="O17" i="1"/>
  <c r="Q17" i="1"/>
  <c r="AW17" i="1"/>
  <c r="I18" i="1"/>
  <c r="O18" i="1"/>
  <c r="Q18" i="1"/>
  <c r="AW18" i="1"/>
  <c r="AW19" i="1"/>
  <c r="Q19" i="1"/>
  <c r="I19" i="1"/>
  <c r="O19" i="1"/>
  <c r="F20" i="1"/>
  <c r="J20" i="1" s="1"/>
  <c r="Q21" i="1"/>
  <c r="I21" i="1"/>
  <c r="G22" i="1"/>
  <c r="P22" i="1"/>
  <c r="R32" i="1"/>
  <c r="M5" i="1"/>
  <c r="F76" i="1"/>
  <c r="M76" i="1" s="1"/>
  <c r="F75" i="1"/>
  <c r="J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J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J41" i="1" s="1"/>
  <c r="F40" i="1"/>
  <c r="J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32" i="1"/>
  <c r="S32" i="1" s="1"/>
  <c r="F7" i="1"/>
  <c r="G7" i="1" s="1"/>
  <c r="F8" i="1"/>
  <c r="J8" i="1" s="1"/>
  <c r="F9" i="1"/>
  <c r="G9" i="1" s="1"/>
  <c r="L9" i="1"/>
  <c r="F10" i="1"/>
  <c r="J10" i="1" s="1"/>
  <c r="F11" i="1"/>
  <c r="P11" i="1" s="1"/>
  <c r="F12" i="1"/>
  <c r="P12" i="1" s="1"/>
  <c r="F13" i="1"/>
  <c r="P13" i="1" s="1"/>
  <c r="F14" i="1"/>
  <c r="P14" i="1" s="1"/>
  <c r="F15" i="1"/>
  <c r="P15" i="1" s="1"/>
  <c r="F16" i="1"/>
  <c r="P16" i="1" s="1"/>
  <c r="F17" i="1"/>
  <c r="P17" i="1" s="1"/>
  <c r="F18" i="1"/>
  <c r="P18" i="1" s="1"/>
  <c r="F19" i="1"/>
  <c r="G19" i="1" s="1"/>
  <c r="Q20" i="1"/>
  <c r="I20" i="1"/>
  <c r="M20" i="1"/>
  <c r="F21" i="1"/>
  <c r="G21" i="1" s="1"/>
  <c r="Q22" i="1"/>
  <c r="I22" i="1"/>
  <c r="M22" i="1"/>
  <c r="P23" i="1"/>
  <c r="P27" i="1"/>
  <c r="P29" i="1"/>
  <c r="J34" i="1"/>
  <c r="J38" i="1"/>
  <c r="I23" i="1"/>
  <c r="M23" i="1"/>
  <c r="O23" i="1"/>
  <c r="Q23" i="1"/>
  <c r="AW23" i="1"/>
  <c r="I24" i="1"/>
  <c r="O24" i="1"/>
  <c r="Q24" i="1"/>
  <c r="AW24" i="1"/>
  <c r="I25" i="1"/>
  <c r="O25" i="1"/>
  <c r="Q25" i="1"/>
  <c r="AW25" i="1"/>
  <c r="I26" i="1"/>
  <c r="O26" i="1"/>
  <c r="Q26" i="1"/>
  <c r="AW26" i="1"/>
  <c r="I27" i="1"/>
  <c r="M27" i="1"/>
  <c r="O27" i="1"/>
  <c r="Q27" i="1"/>
  <c r="AW27" i="1"/>
  <c r="I28" i="1"/>
  <c r="O28" i="1"/>
  <c r="Q28" i="1"/>
  <c r="AW28" i="1"/>
  <c r="I29" i="1"/>
  <c r="O29" i="1"/>
  <c r="Q29" i="1"/>
  <c r="I30" i="1"/>
  <c r="M30" i="1"/>
  <c r="O30" i="1"/>
  <c r="Q30" i="1"/>
  <c r="AW30" i="1"/>
  <c r="I31" i="1"/>
  <c r="M31" i="1"/>
  <c r="O31" i="1"/>
  <c r="Q31" i="1"/>
  <c r="AW31" i="1"/>
  <c r="P32" i="1"/>
  <c r="I33" i="1"/>
  <c r="M33" i="1"/>
  <c r="O33" i="1"/>
  <c r="Q33" i="1"/>
  <c r="AW33" i="1"/>
  <c r="I34" i="1"/>
  <c r="O34" i="1"/>
  <c r="Q34" i="1"/>
  <c r="AW34" i="1"/>
  <c r="I35" i="1"/>
  <c r="M35" i="1"/>
  <c r="O35" i="1"/>
  <c r="Q35" i="1"/>
  <c r="AW35" i="1"/>
  <c r="I36" i="1"/>
  <c r="O36" i="1"/>
  <c r="Q36" i="1"/>
  <c r="AW36" i="1"/>
  <c r="I37" i="1"/>
  <c r="M37" i="1"/>
  <c r="O37" i="1"/>
  <c r="Q37" i="1"/>
  <c r="AW37" i="1"/>
  <c r="I38" i="1"/>
  <c r="O38" i="1"/>
  <c r="Q38" i="1"/>
  <c r="AW38" i="1"/>
  <c r="L39" i="1"/>
  <c r="Q39" i="1"/>
  <c r="L40" i="1"/>
  <c r="Q40" i="1"/>
  <c r="L41" i="1"/>
  <c r="Q41" i="1"/>
  <c r="AW42" i="1"/>
  <c r="BK27" i="1" s="1"/>
  <c r="O42" i="1"/>
  <c r="J42" i="1"/>
  <c r="R42" i="1"/>
  <c r="P43" i="1"/>
  <c r="J44" i="1"/>
  <c r="P45" i="1"/>
  <c r="R46" i="1"/>
  <c r="P47" i="1"/>
  <c r="S48" i="1"/>
  <c r="R48" i="1"/>
  <c r="P49" i="1"/>
  <c r="R50" i="1"/>
  <c r="P51" i="1"/>
  <c r="S52" i="1"/>
  <c r="P53" i="1"/>
  <c r="R54" i="1"/>
  <c r="P55" i="1"/>
  <c r="S56" i="1"/>
  <c r="R56" i="1"/>
  <c r="P57" i="1"/>
  <c r="R58" i="1"/>
  <c r="P59" i="1"/>
  <c r="S60" i="1"/>
  <c r="R60" i="1"/>
  <c r="AW20" i="1"/>
  <c r="AW21" i="1"/>
  <c r="AW22" i="1"/>
  <c r="I32" i="1"/>
  <c r="AW32" i="1"/>
  <c r="I39" i="1"/>
  <c r="O39" i="1"/>
  <c r="AW39" i="1"/>
  <c r="I40" i="1"/>
  <c r="O40" i="1"/>
  <c r="AW40" i="1"/>
  <c r="O41" i="1"/>
  <c r="P42" i="1"/>
  <c r="R43" i="1"/>
  <c r="R44" i="1"/>
  <c r="J46" i="1"/>
  <c r="R47" i="1"/>
  <c r="P48" i="1"/>
  <c r="J50" i="1"/>
  <c r="R51" i="1"/>
  <c r="P52" i="1"/>
  <c r="J54" i="1"/>
  <c r="R55" i="1"/>
  <c r="P56" i="1"/>
  <c r="J58" i="1"/>
  <c r="R59" i="1"/>
  <c r="P60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AW61" i="1"/>
  <c r="L61" i="1"/>
  <c r="Q61" i="1"/>
  <c r="P62" i="1"/>
  <c r="P64" i="1"/>
  <c r="P66" i="1"/>
  <c r="P68" i="1"/>
  <c r="J70" i="1"/>
  <c r="M71" i="1"/>
  <c r="J72" i="1"/>
  <c r="I43" i="1"/>
  <c r="M43" i="1"/>
  <c r="O43" i="1"/>
  <c r="I44" i="1"/>
  <c r="M44" i="1"/>
  <c r="O44" i="1"/>
  <c r="AW44" i="1"/>
  <c r="I45" i="1"/>
  <c r="O45" i="1"/>
  <c r="AW45" i="1"/>
  <c r="I46" i="1"/>
  <c r="O46" i="1"/>
  <c r="AW46" i="1"/>
  <c r="I47" i="1"/>
  <c r="O47" i="1"/>
  <c r="AW47" i="1"/>
  <c r="I48" i="1"/>
  <c r="M48" i="1"/>
  <c r="O48" i="1"/>
  <c r="AW48" i="1"/>
  <c r="I49" i="1"/>
  <c r="O49" i="1"/>
  <c r="AW49" i="1"/>
  <c r="I50" i="1"/>
  <c r="O50" i="1"/>
  <c r="AW50" i="1"/>
  <c r="I51" i="1"/>
  <c r="O51" i="1"/>
  <c r="AW51" i="1"/>
  <c r="I52" i="1"/>
  <c r="M52" i="1"/>
  <c r="O52" i="1"/>
  <c r="AW52" i="1"/>
  <c r="I53" i="1"/>
  <c r="O53" i="1"/>
  <c r="I54" i="1"/>
  <c r="M54" i="1"/>
  <c r="O54" i="1"/>
  <c r="I55" i="1"/>
  <c r="O55" i="1"/>
  <c r="AW55" i="1"/>
  <c r="BK28" i="1" s="1"/>
  <c r="I56" i="1"/>
  <c r="M56" i="1"/>
  <c r="O56" i="1"/>
  <c r="AW56" i="1"/>
  <c r="I57" i="1"/>
  <c r="O57" i="1"/>
  <c r="AW57" i="1"/>
  <c r="I58" i="1"/>
  <c r="O58" i="1"/>
  <c r="AW58" i="1"/>
  <c r="I59" i="1"/>
  <c r="O59" i="1"/>
  <c r="AW59" i="1"/>
  <c r="I60" i="1"/>
  <c r="M60" i="1"/>
  <c r="O60" i="1"/>
  <c r="AW60" i="1"/>
  <c r="J63" i="1"/>
  <c r="J65" i="1"/>
  <c r="J67" i="1"/>
  <c r="J69" i="1"/>
  <c r="J71" i="1"/>
  <c r="P72" i="1"/>
  <c r="I62" i="1"/>
  <c r="M62" i="1"/>
  <c r="O62" i="1"/>
  <c r="Q62" i="1"/>
  <c r="AW62" i="1"/>
  <c r="I63" i="1"/>
  <c r="M63" i="1"/>
  <c r="O63" i="1"/>
  <c r="Q63" i="1"/>
  <c r="AW63" i="1"/>
  <c r="I64" i="1"/>
  <c r="M64" i="1"/>
  <c r="O64" i="1"/>
  <c r="Q64" i="1"/>
  <c r="AW64" i="1"/>
  <c r="I65" i="1"/>
  <c r="M65" i="1"/>
  <c r="O65" i="1"/>
  <c r="Q65" i="1"/>
  <c r="I66" i="1"/>
  <c r="O66" i="1"/>
  <c r="Q66" i="1"/>
  <c r="I67" i="1"/>
  <c r="M67" i="1"/>
  <c r="O67" i="1"/>
  <c r="Q67" i="1"/>
  <c r="I68" i="1"/>
  <c r="O68" i="1"/>
  <c r="Q68" i="1"/>
  <c r="AW68" i="1"/>
  <c r="I69" i="1"/>
  <c r="O69" i="1"/>
  <c r="Q69" i="1"/>
  <c r="AW69" i="1"/>
  <c r="I70" i="1"/>
  <c r="O70" i="1"/>
  <c r="Q70" i="1"/>
  <c r="AW70" i="1"/>
  <c r="I71" i="1"/>
  <c r="O71" i="1"/>
  <c r="Q71" i="1"/>
  <c r="AW71" i="1"/>
  <c r="I72" i="1"/>
  <c r="O72" i="1"/>
  <c r="Q72" i="1"/>
  <c r="AW72" i="1"/>
  <c r="AW73" i="1"/>
  <c r="O73" i="1"/>
  <c r="I73" i="1"/>
  <c r="G75" i="1"/>
  <c r="P75" i="1"/>
  <c r="L70" i="1"/>
  <c r="L71" i="1"/>
  <c r="J73" i="1"/>
  <c r="L73" i="1"/>
  <c r="M73" i="1"/>
  <c r="J74" i="1"/>
  <c r="G76" i="1"/>
  <c r="P76" i="1"/>
  <c r="Q73" i="1"/>
  <c r="I74" i="1"/>
  <c r="O74" i="1"/>
  <c r="Q74" i="1"/>
  <c r="AW74" i="1"/>
  <c r="BK77" i="1" s="1"/>
  <c r="I75" i="1"/>
  <c r="M75" i="1"/>
  <c r="O75" i="1"/>
  <c r="Q75" i="1"/>
  <c r="AW75" i="1"/>
  <c r="I76" i="1"/>
  <c r="O76" i="1"/>
  <c r="Q76" i="1"/>
  <c r="AW76" i="1"/>
  <c r="P28" i="1" l="1"/>
  <c r="J26" i="1"/>
  <c r="S42" i="1"/>
  <c r="M74" i="1"/>
  <c r="J76" i="1"/>
  <c r="P74" i="1"/>
  <c r="M68" i="1"/>
  <c r="M66" i="1"/>
  <c r="M72" i="1"/>
  <c r="M70" i="1"/>
  <c r="M58" i="1"/>
  <c r="M50" i="1"/>
  <c r="M46" i="1"/>
  <c r="M42" i="1"/>
  <c r="P70" i="1"/>
  <c r="J68" i="1"/>
  <c r="J66" i="1"/>
  <c r="J64" i="1"/>
  <c r="J62" i="1"/>
  <c r="J60" i="1"/>
  <c r="P58" i="1"/>
  <c r="J56" i="1"/>
  <c r="P54" i="1"/>
  <c r="J52" i="1"/>
  <c r="P50" i="1"/>
  <c r="J48" i="1"/>
  <c r="P46" i="1"/>
  <c r="S58" i="1"/>
  <c r="S54" i="1"/>
  <c r="S50" i="1"/>
  <c r="S46" i="1"/>
  <c r="P44" i="1"/>
  <c r="P40" i="1"/>
  <c r="M38" i="1"/>
  <c r="M36" i="1"/>
  <c r="M34" i="1"/>
  <c r="M29" i="1"/>
  <c r="M25" i="1"/>
  <c r="J36" i="1"/>
  <c r="P31" i="1"/>
  <c r="P20" i="1"/>
  <c r="G20" i="1"/>
  <c r="S59" i="1"/>
  <c r="S55" i="1"/>
  <c r="S51" i="1"/>
  <c r="S47" i="1"/>
  <c r="S44" i="1"/>
  <c r="S43" i="1"/>
  <c r="J37" i="1"/>
  <c r="BK24" i="1"/>
  <c r="P73" i="1"/>
  <c r="M69" i="1"/>
  <c r="P71" i="1"/>
  <c r="P69" i="1"/>
  <c r="P67" i="1"/>
  <c r="P65" i="1"/>
  <c r="P63" i="1"/>
  <c r="M59" i="1"/>
  <c r="M57" i="1"/>
  <c r="M55" i="1"/>
  <c r="M53" i="1"/>
  <c r="M51" i="1"/>
  <c r="M49" i="1"/>
  <c r="M47" i="1"/>
  <c r="M45" i="1"/>
  <c r="P61" i="1"/>
  <c r="S57" i="1"/>
  <c r="S53" i="1"/>
  <c r="S49" i="1"/>
  <c r="S45" i="1"/>
  <c r="M39" i="1"/>
  <c r="J59" i="1"/>
  <c r="J57" i="1"/>
  <c r="J55" i="1"/>
  <c r="J53" i="1"/>
  <c r="J51" i="1"/>
  <c r="J49" i="1"/>
  <c r="J47" i="1"/>
  <c r="J45" i="1"/>
  <c r="J43" i="1"/>
  <c r="P41" i="1"/>
  <c r="P39" i="1"/>
  <c r="J39" i="1"/>
  <c r="J32" i="1"/>
  <c r="BK26" i="1"/>
  <c r="M28" i="1"/>
  <c r="M26" i="1"/>
  <c r="M24" i="1"/>
  <c r="M32" i="1"/>
  <c r="J28" i="1"/>
  <c r="P26" i="1"/>
  <c r="AV32" i="1"/>
  <c r="R76" i="1"/>
  <c r="S76" i="1"/>
  <c r="R75" i="1"/>
  <c r="S75" i="1"/>
  <c r="BK61" i="1"/>
  <c r="R67" i="1"/>
  <c r="S67" i="1"/>
  <c r="R66" i="1"/>
  <c r="S66" i="1"/>
  <c r="R65" i="1"/>
  <c r="S65" i="1"/>
  <c r="R63" i="1"/>
  <c r="S63" i="1"/>
  <c r="R74" i="1"/>
  <c r="S74" i="1"/>
  <c r="R73" i="1"/>
  <c r="S73" i="1"/>
  <c r="R72" i="1"/>
  <c r="S72" i="1"/>
  <c r="R71" i="1"/>
  <c r="S71" i="1"/>
  <c r="R70" i="1"/>
  <c r="S70" i="1"/>
  <c r="R69" i="1"/>
  <c r="S69" i="1"/>
  <c r="BK44" i="1"/>
  <c r="R64" i="1"/>
  <c r="S64" i="1"/>
  <c r="R62" i="1"/>
  <c r="S62" i="1"/>
  <c r="BK60" i="1"/>
  <c r="BK43" i="1"/>
  <c r="BK75" i="1"/>
  <c r="BK59" i="1"/>
  <c r="BK42" i="1"/>
  <c r="AV59" i="1"/>
  <c r="AV57" i="1"/>
  <c r="AV55" i="1"/>
  <c r="AV53" i="1"/>
  <c r="AV51" i="1"/>
  <c r="AV49" i="1"/>
  <c r="AV47" i="1"/>
  <c r="AV45" i="1"/>
  <c r="AV44" i="1"/>
  <c r="AV43" i="1"/>
  <c r="BK41" i="1"/>
  <c r="BK40" i="1"/>
  <c r="AV60" i="1"/>
  <c r="AV58" i="1"/>
  <c r="AV56" i="1"/>
  <c r="AV54" i="1"/>
  <c r="AV52" i="1"/>
  <c r="AV50" i="1"/>
  <c r="AV48" i="1"/>
  <c r="AV46" i="1"/>
  <c r="AV42" i="1"/>
  <c r="R38" i="1"/>
  <c r="S38" i="1"/>
  <c r="R36" i="1"/>
  <c r="S36" i="1"/>
  <c r="BK58" i="1"/>
  <c r="R34" i="1"/>
  <c r="S34" i="1"/>
  <c r="R31" i="1"/>
  <c r="S31" i="1"/>
  <c r="R28" i="1"/>
  <c r="S28" i="1"/>
  <c r="R26" i="1"/>
  <c r="S26" i="1"/>
  <c r="R24" i="1"/>
  <c r="S24" i="1"/>
  <c r="BK57" i="1"/>
  <c r="P38" i="1"/>
  <c r="P36" i="1"/>
  <c r="P34" i="1"/>
  <c r="J31" i="1"/>
  <c r="J29" i="1"/>
  <c r="J27" i="1"/>
  <c r="J23" i="1"/>
  <c r="P21" i="1"/>
  <c r="J21" i="1"/>
  <c r="S20" i="1"/>
  <c r="R20" i="1"/>
  <c r="M41" i="1"/>
  <c r="G41" i="1"/>
  <c r="M61" i="1"/>
  <c r="G61" i="1"/>
  <c r="P37" i="1"/>
  <c r="P35" i="1"/>
  <c r="P33" i="1"/>
  <c r="G32" i="1"/>
  <c r="J30" i="1"/>
  <c r="P25" i="1"/>
  <c r="P24" i="1"/>
  <c r="M21" i="1"/>
  <c r="S21" i="1"/>
  <c r="R21" i="1"/>
  <c r="BK25" i="1"/>
  <c r="BK72" i="1"/>
  <c r="BK56" i="1"/>
  <c r="BK39" i="1"/>
  <c r="R7" i="1"/>
  <c r="S7" i="1"/>
  <c r="M7" i="1"/>
  <c r="J18" i="1"/>
  <c r="J17" i="1"/>
  <c r="J16" i="1"/>
  <c r="J15" i="1"/>
  <c r="J14" i="1"/>
  <c r="J13" i="1"/>
  <c r="J12" i="1"/>
  <c r="J11" i="1"/>
  <c r="P10" i="1"/>
  <c r="M9" i="1"/>
  <c r="M18" i="1"/>
  <c r="M17" i="1"/>
  <c r="M16" i="1"/>
  <c r="M15" i="1"/>
  <c r="M14" i="1"/>
  <c r="M13" i="1"/>
  <c r="M12" i="1"/>
  <c r="M11" i="1"/>
  <c r="G10" i="1"/>
  <c r="J9" i="1"/>
  <c r="P8" i="1"/>
  <c r="G8" i="1"/>
  <c r="J7" i="1"/>
  <c r="R68" i="1"/>
  <c r="S68" i="1"/>
  <c r="BK76" i="1"/>
  <c r="R61" i="1"/>
  <c r="S61" i="1"/>
  <c r="R41" i="1"/>
  <c r="S41" i="1"/>
  <c r="R40" i="1"/>
  <c r="S40" i="1"/>
  <c r="R39" i="1"/>
  <c r="S39" i="1"/>
  <c r="BK74" i="1"/>
  <c r="R37" i="1"/>
  <c r="S37" i="1"/>
  <c r="R35" i="1"/>
  <c r="S35" i="1"/>
  <c r="R33" i="1"/>
  <c r="S33" i="1"/>
  <c r="R30" i="1"/>
  <c r="S30" i="1"/>
  <c r="R29" i="1"/>
  <c r="S29" i="1"/>
  <c r="R27" i="1"/>
  <c r="S27" i="1"/>
  <c r="BK73" i="1"/>
  <c r="R25" i="1"/>
  <c r="S25" i="1"/>
  <c r="R23" i="1"/>
  <c r="S23" i="1"/>
  <c r="S22" i="1"/>
  <c r="R22" i="1"/>
  <c r="P19" i="1"/>
  <c r="J19" i="1"/>
  <c r="M40" i="1"/>
  <c r="G40" i="1"/>
  <c r="J35" i="1"/>
  <c r="J33" i="1"/>
  <c r="P30" i="1"/>
  <c r="J25" i="1"/>
  <c r="J24" i="1"/>
  <c r="M19" i="1"/>
  <c r="S19" i="1"/>
  <c r="R19" i="1"/>
  <c r="R18" i="1"/>
  <c r="S18" i="1"/>
  <c r="R17" i="1"/>
  <c r="S17" i="1"/>
  <c r="R16" i="1"/>
  <c r="Y16" i="1" s="1"/>
  <c r="S16" i="1"/>
  <c r="R15" i="1"/>
  <c r="S15" i="1"/>
  <c r="R14" i="1"/>
  <c r="Y14" i="1" s="1"/>
  <c r="S14" i="1"/>
  <c r="R13" i="1"/>
  <c r="Y13" i="1" s="1"/>
  <c r="S13" i="1"/>
  <c r="R12" i="1"/>
  <c r="Y12" i="1" s="1"/>
  <c r="S12" i="1"/>
  <c r="R11" i="1"/>
  <c r="Y11" i="1" s="1"/>
  <c r="S11" i="1"/>
  <c r="R10" i="1"/>
  <c r="Y10" i="1" s="1"/>
  <c r="S10" i="1"/>
  <c r="R9" i="1"/>
  <c r="Y9" i="1" s="1"/>
  <c r="S9" i="1"/>
  <c r="R8" i="1"/>
  <c r="Y8" i="1" s="1"/>
  <c r="S8" i="1"/>
  <c r="M8" i="1"/>
  <c r="R6" i="1"/>
  <c r="S6" i="1"/>
  <c r="R5" i="1"/>
  <c r="S5" i="1"/>
  <c r="G18" i="1"/>
  <c r="G17" i="1"/>
  <c r="G16" i="1"/>
  <c r="G15" i="1"/>
  <c r="G14" i="1"/>
  <c r="G13" i="1"/>
  <c r="G12" i="1"/>
  <c r="G11" i="1"/>
  <c r="M10" i="1"/>
  <c r="P9" i="1"/>
  <c r="P7" i="1"/>
  <c r="BL75" i="1" l="1"/>
  <c r="Y15" i="1"/>
  <c r="BK31" i="1"/>
  <c r="S78" i="1"/>
  <c r="AV5" i="1"/>
  <c r="AI5" i="1"/>
  <c r="Z5" i="1"/>
  <c r="AV6" i="1"/>
  <c r="Z6" i="1"/>
  <c r="AV19" i="1"/>
  <c r="Y5" i="1"/>
  <c r="Y6" i="1"/>
  <c r="AV8" i="1"/>
  <c r="Z8" i="1"/>
  <c r="AV9" i="1"/>
  <c r="Z9" i="1"/>
  <c r="AV10" i="1"/>
  <c r="Z10" i="1"/>
  <c r="AV11" i="1"/>
  <c r="Z11" i="1"/>
  <c r="AV12" i="1"/>
  <c r="Z12" i="1"/>
  <c r="AV13" i="1"/>
  <c r="Z13" i="1"/>
  <c r="AV14" i="1"/>
  <c r="Z14" i="1"/>
  <c r="AV15" i="1"/>
  <c r="Z15" i="1"/>
  <c r="AV16" i="1"/>
  <c r="Z16" i="1"/>
  <c r="AV17" i="1"/>
  <c r="AI6" i="1"/>
  <c r="AV18" i="1"/>
  <c r="AV23" i="1"/>
  <c r="AV25" i="1"/>
  <c r="AV39" i="1"/>
  <c r="AV40" i="1"/>
  <c r="AV41" i="1"/>
  <c r="BL27" i="1" s="1"/>
  <c r="AI8" i="1"/>
  <c r="AV61" i="1"/>
  <c r="Y7" i="1"/>
  <c r="AV21" i="1"/>
  <c r="AV20" i="1"/>
  <c r="AV36" i="1"/>
  <c r="AV38" i="1"/>
  <c r="BL43" i="1"/>
  <c r="BL42" i="1"/>
  <c r="BL59" i="1"/>
  <c r="AI9" i="1"/>
  <c r="BL28" i="1"/>
  <c r="AV62" i="1"/>
  <c r="AV64" i="1"/>
  <c r="AV75" i="1"/>
  <c r="AV76" i="1"/>
  <c r="BK32" i="1"/>
  <c r="AV22" i="1"/>
  <c r="AV27" i="1"/>
  <c r="AV29" i="1"/>
  <c r="AI7" i="1"/>
  <c r="AV30" i="1"/>
  <c r="AV33" i="1"/>
  <c r="AV35" i="1"/>
  <c r="AV37" i="1"/>
  <c r="AV68" i="1"/>
  <c r="AV7" i="1"/>
  <c r="Z7" i="1"/>
  <c r="AV24" i="1"/>
  <c r="AV26" i="1"/>
  <c r="AV28" i="1"/>
  <c r="AV31" i="1"/>
  <c r="AV34" i="1"/>
  <c r="BL41" i="1" s="1"/>
  <c r="BL60" i="1"/>
  <c r="AV69" i="1"/>
  <c r="AV70" i="1"/>
  <c r="AV71" i="1"/>
  <c r="AV72" i="1"/>
  <c r="AV73" i="1"/>
  <c r="AV74" i="1"/>
  <c r="BL77" i="1" s="1"/>
  <c r="AV63" i="1"/>
  <c r="AV65" i="1"/>
  <c r="AI10" i="1"/>
  <c r="AV66" i="1"/>
  <c r="AV67" i="1"/>
  <c r="BL74" i="1" l="1"/>
  <c r="BL29" i="1"/>
  <c r="BL25" i="1"/>
  <c r="BL61" i="1"/>
  <c r="BL44" i="1"/>
  <c r="BL58" i="1"/>
  <c r="BL26" i="1"/>
  <c r="BL40" i="1"/>
  <c r="BL57" i="1"/>
  <c r="BL72" i="1"/>
  <c r="BL39" i="1"/>
  <c r="BL73" i="1"/>
  <c r="BL76" i="1"/>
  <c r="BL56" i="1"/>
  <c r="BL24" i="1"/>
</calcChain>
</file>

<file path=xl/comments1.xml><?xml version="1.0" encoding="utf-8"?>
<comments xmlns="http://schemas.openxmlformats.org/spreadsheetml/2006/main">
  <authors>
    <author>Nuno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face à ocupação total (100%)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Apenas indicativo! Representa a % de ocupação por m</t>
        </r>
        <r>
          <rPr>
            <vertAlign val="superscript"/>
            <sz val="9"/>
            <color indexed="81"/>
            <rFont val="Tahoma"/>
            <family val="2"/>
          </rPr>
          <t>2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Ilum&amp;Tom + ACFrio + ACQuente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Valor inserido à MÃO!!!</t>
        </r>
      </text>
    </comment>
  </commentList>
</comments>
</file>

<file path=xl/sharedStrings.xml><?xml version="1.0" encoding="utf-8"?>
<sst xmlns="http://schemas.openxmlformats.org/spreadsheetml/2006/main" count="445" uniqueCount="79">
  <si>
    <t>Valores Médios Mensais</t>
  </si>
  <si>
    <t>Análise Anual</t>
  </si>
  <si>
    <t>Análise Sazonal - Estações Ano</t>
  </si>
  <si>
    <t>Ano</t>
  </si>
  <si>
    <t>Mês</t>
  </si>
  <si>
    <t>% Taxa de Ocupação</t>
  </si>
  <si>
    <t>Taxa de Ocup. Efectiva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</si>
  <si>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</si>
  <si>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Taxa de Ocup./m</t>
    </r>
    <r>
      <rPr>
        <vertAlign val="superscript"/>
        <sz val="10"/>
        <color theme="1"/>
        <rFont val="Calibri"/>
        <family val="2"/>
        <scheme val="minor"/>
      </rPr>
      <t>2</t>
    </r>
  </si>
  <si>
    <t>Consumo (Fraccionado)</t>
  </si>
  <si>
    <t>Consumo</t>
  </si>
  <si>
    <t>Consumo / Taxa de Ocup.</t>
  </si>
  <si>
    <r>
      <t>Consumo/m</t>
    </r>
    <r>
      <rPr>
        <vertAlign val="superscript"/>
        <sz val="11"/>
        <color theme="1"/>
        <rFont val="Calibri"/>
        <family val="2"/>
        <scheme val="minor"/>
      </rPr>
      <t>2</t>
    </r>
  </si>
  <si>
    <t>Ilum&amp;tom</t>
  </si>
  <si>
    <t>Cons/T. O.</t>
  </si>
  <si>
    <r>
      <t>Ilum&amp;tom/ m</t>
    </r>
    <r>
      <rPr>
        <vertAlign val="superscript"/>
        <sz val="10"/>
        <color theme="1"/>
        <rFont val="Calibri"/>
        <family val="2"/>
        <scheme val="minor"/>
      </rPr>
      <t>2</t>
    </r>
  </si>
  <si>
    <t>AC Frio</t>
  </si>
  <si>
    <r>
      <t>AC Frio/m</t>
    </r>
    <r>
      <rPr>
        <vertAlign val="superscript"/>
        <sz val="10"/>
        <color theme="1"/>
        <rFont val="Calibri"/>
        <family val="2"/>
        <scheme val="minor"/>
      </rPr>
      <t>2</t>
    </r>
  </si>
  <si>
    <t>AC Quente</t>
  </si>
  <si>
    <r>
      <t>AC Quente/m</t>
    </r>
    <r>
      <rPr>
        <vertAlign val="superscript"/>
        <sz val="10"/>
        <color theme="1"/>
        <rFont val="Calibri"/>
        <family val="2"/>
        <scheme val="minor"/>
      </rPr>
      <t>2</t>
    </r>
  </si>
  <si>
    <t>Cons/T.O.</t>
  </si>
  <si>
    <r>
      <t>Cons./m</t>
    </r>
    <r>
      <rPr>
        <vertAlign val="superscript"/>
        <sz val="11"/>
        <color theme="1"/>
        <rFont val="Calibri"/>
        <family val="2"/>
        <scheme val="minor"/>
      </rPr>
      <t>2</t>
    </r>
  </si>
  <si>
    <t>T.O.E.</t>
  </si>
  <si>
    <t>Visitantes</t>
  </si>
  <si>
    <t>Jan</t>
  </si>
  <si>
    <t>JAN</t>
  </si>
  <si>
    <t>2007 (Após Julho, inclusive)</t>
  </si>
  <si>
    <t>Fev</t>
  </si>
  <si>
    <t>FEV</t>
  </si>
  <si>
    <t>Mar</t>
  </si>
  <si>
    <t>MAR</t>
  </si>
  <si>
    <t>Abr</t>
  </si>
  <si>
    <t>ABR</t>
  </si>
  <si>
    <t>Mai</t>
  </si>
  <si>
    <t>MAI</t>
  </si>
  <si>
    <t>Jun</t>
  </si>
  <si>
    <t>JUN</t>
  </si>
  <si>
    <t>Jul</t>
  </si>
  <si>
    <t>JUL</t>
  </si>
  <si>
    <t>Ago</t>
  </si>
  <si>
    <t>AGO</t>
  </si>
  <si>
    <t>Set</t>
  </si>
  <si>
    <t>SET</t>
  </si>
  <si>
    <t>Out</t>
  </si>
  <si>
    <t>OUT</t>
  </si>
  <si>
    <t>Nov</t>
  </si>
  <si>
    <t>NOV</t>
  </si>
  <si>
    <t>Dez</t>
  </si>
  <si>
    <t>DEZ</t>
  </si>
  <si>
    <t>MAX</t>
  </si>
  <si>
    <t>MIN</t>
  </si>
  <si>
    <t>MOD_1</t>
  </si>
  <si>
    <t>MOD_2</t>
  </si>
  <si>
    <t>MOD_3</t>
  </si>
  <si>
    <t>Consumos Globais por Módulo (Médias Mensais) - MODULO 1</t>
  </si>
  <si>
    <t>MOD</t>
  </si>
  <si>
    <t>Equip.</t>
  </si>
  <si>
    <t>Ano/Mês</t>
  </si>
  <si>
    <t>07</t>
  </si>
  <si>
    <t>08</t>
  </si>
  <si>
    <t>09</t>
  </si>
  <si>
    <t>Consumos Globais por Módulo (Médias Mensais) - MODULO 2</t>
  </si>
  <si>
    <t>Consumos Globais por Módulo (Médias Mensais) - MODULO 3</t>
  </si>
  <si>
    <t>Consumo Global/Área</t>
  </si>
  <si>
    <t>Consumo Iluminação&amp;Tomadas/Área</t>
  </si>
  <si>
    <t>Comando de Iluminação  - "Fim de Ocupação" (OUT_2008)</t>
  </si>
  <si>
    <t>Implicação no Consumo Global</t>
  </si>
  <si>
    <t xml:space="preserve"> ANTES</t>
  </si>
  <si>
    <t xml:space="preserve"> DEPOIS</t>
  </si>
  <si>
    <t>07-08</t>
  </si>
  <si>
    <t>09-12</t>
  </si>
  <si>
    <t>08-12</t>
  </si>
  <si>
    <t>Implicação no Consumo Iluminação&amp;Tomadas</t>
  </si>
  <si>
    <t>Consumo AC Frio/Área</t>
  </si>
  <si>
    <t>Inativação dos Chillers no Inverno (NOV_2011)</t>
  </si>
  <si>
    <t>07-11</t>
  </si>
  <si>
    <t>07-10</t>
  </si>
  <si>
    <t>11-12</t>
  </si>
  <si>
    <t>Implicação no Consumo AC Frio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</si>
</sst>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0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9"/>
      <color indexed="81"/>
      <name val="Tahoma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3" fontId="0" fillId="0" borderId="0" xfId="0" applyNumberFormat="1" applyBorder="1" applyProtection="1"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49" fontId="0" fillId="0" borderId="2" xfId="1" applyNumberFormat="1" applyFont="1" applyFill="1" applyBorder="1" applyAlignment="1" applyProtection="1">
      <alignment horizontal="center" vertical="center"/>
      <protection hidden="1"/>
    </xf>
    <xf numFmtId="3" fontId="0" fillId="0" borderId="3" xfId="0" applyNumberFormat="1" applyFill="1" applyBorder="1" applyAlignment="1" applyProtection="1">
      <alignment horizontal="center" vertical="center"/>
      <protection hidden="1"/>
    </xf>
    <xf numFmtId="3" fontId="0" fillId="0" borderId="4" xfId="0" applyNumberFormat="1" applyFill="1" applyBorder="1" applyAlignment="1" applyProtection="1">
      <alignment horizontal="center" vertical="center"/>
      <protection hidden="1"/>
    </xf>
    <xf numFmtId="3" fontId="0" fillId="0" borderId="5" xfId="0" applyNumberForma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49" fontId="0" fillId="0" borderId="6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10" xfId="0" applyNumberFormat="1" applyFill="1" applyBorder="1" applyAlignment="1" applyProtection="1">
      <alignment horizontal="center" vertical="center"/>
      <protection hidden="1"/>
    </xf>
    <xf numFmtId="0" fontId="0" fillId="0" borderId="25" xfId="0" applyFill="1" applyBorder="1" applyAlignment="1" applyProtection="1">
      <alignment horizontal="center" vertical="center"/>
      <protection hidden="1"/>
    </xf>
    <xf numFmtId="49" fontId="0" fillId="0" borderId="25" xfId="0" applyNumberFormat="1" applyFill="1" applyBorder="1" applyAlignment="1" applyProtection="1">
      <alignment horizontal="center" vertical="center"/>
      <protection hidden="1"/>
    </xf>
    <xf numFmtId="3" fontId="0" fillId="0" borderId="23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Fill="1" applyBorder="1" applyAlignment="1" applyProtection="1">
      <alignment horizontal="center" vertical="center"/>
      <protection hidden="1"/>
    </xf>
    <xf numFmtId="3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3" fontId="0" fillId="0" borderId="0" xfId="0" applyNumberFormat="1" applyFill="1" applyAlignment="1" applyProtection="1">
      <alignment horizontal="center" vertical="center"/>
      <protection hidden="1"/>
    </xf>
    <xf numFmtId="165" fontId="0" fillId="0" borderId="0" xfId="0" applyNumberFormat="1" applyFill="1" applyBorder="1" applyAlignment="1" applyProtection="1">
      <alignment vertical="center"/>
      <protection hidden="1"/>
    </xf>
    <xf numFmtId="165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7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center" textRotation="255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165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vertical="center" textRotation="255"/>
      <protection hidden="1"/>
    </xf>
    <xf numFmtId="17" fontId="0" fillId="0" borderId="0" xfId="0" applyNumberFormat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3" fontId="0" fillId="0" borderId="26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49" fontId="0" fillId="0" borderId="2" xfId="1" applyNumberFormat="1" applyFont="1" applyBorder="1" applyAlignment="1" applyProtection="1">
      <alignment horizontal="center" vertical="center"/>
      <protection hidden="1"/>
    </xf>
    <xf numFmtId="3" fontId="0" fillId="0" borderId="3" xfId="0" applyNumberFormat="1" applyBorder="1" applyAlignment="1" applyProtection="1">
      <alignment horizontal="center" vertical="center"/>
      <protection hidden="1"/>
    </xf>
    <xf numFmtId="3" fontId="0" fillId="0" borderId="4" xfId="0" applyNumberFormat="1" applyBorder="1" applyAlignment="1" applyProtection="1">
      <alignment horizontal="center" vertical="center"/>
      <protection hidden="1"/>
    </xf>
    <xf numFmtId="3" fontId="0" fillId="0" borderId="5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49" fontId="0" fillId="0" borderId="6" xfId="0" applyNumberFormat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3" fontId="0" fillId="0" borderId="10" xfId="0" applyNumberFormat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49" fontId="0" fillId="0" borderId="25" xfId="0" applyNumberFormat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3" fontId="0" fillId="2" borderId="0" xfId="0" applyNumberFormat="1" applyFill="1" applyProtection="1">
      <protection hidden="1"/>
    </xf>
    <xf numFmtId="3" fontId="2" fillId="3" borderId="0" xfId="0" applyNumberFormat="1" applyFont="1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wrapText="1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0" fillId="4" borderId="2" xfId="0" applyFont="1" applyFill="1" applyBorder="1" applyAlignment="1" applyProtection="1">
      <alignment horizontal="center" vertical="center" wrapText="1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0" fillId="4" borderId="6" xfId="0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0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5" borderId="8" xfId="0" applyFont="1" applyFill="1" applyBorder="1" applyAlignment="1" applyProtection="1">
      <alignment horizontal="center"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6" borderId="8" xfId="0" applyFont="1" applyFill="1" applyBorder="1" applyAlignment="1" applyProtection="1">
      <alignment horizontal="center" vertical="center" wrapText="1"/>
      <protection hidden="1"/>
    </xf>
    <xf numFmtId="0" fontId="3" fillId="6" borderId="4" xfId="0" applyFont="1" applyFill="1" applyBorder="1" applyAlignment="1" applyProtection="1">
      <alignment horizontal="center" vertical="center" wrapText="1"/>
      <protection hidden="1"/>
    </xf>
    <xf numFmtId="0" fontId="3" fillId="6" borderId="9" xfId="0" applyFont="1" applyFill="1" applyBorder="1" applyAlignment="1" applyProtection="1">
      <alignment horizontal="center" vertical="center" wrapText="1"/>
      <protection hidden="1"/>
    </xf>
    <xf numFmtId="0" fontId="3" fillId="7" borderId="8" xfId="0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 wrapText="1"/>
      <protection hidden="1"/>
    </xf>
    <xf numFmtId="0" fontId="3" fillId="7" borderId="9" xfId="0" applyFont="1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4" borderId="6" xfId="0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horizontal="center" vertical="center" textRotation="255"/>
      <protection hidden="1"/>
    </xf>
    <xf numFmtId="17" fontId="0" fillId="0" borderId="12" xfId="0" applyNumberForma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4" fontId="0" fillId="0" borderId="13" xfId="0" quotePrefix="1" applyNumberFormat="1" applyFill="1" applyBorder="1" applyAlignment="1" applyProtection="1">
      <alignment horizontal="center" vertical="center"/>
      <protection hidden="1"/>
    </xf>
    <xf numFmtId="4" fontId="0" fillId="0" borderId="13" xfId="0" applyNumberFormat="1" applyFill="1" applyBorder="1" applyAlignment="1" applyProtection="1">
      <alignment horizontal="center" vertical="center"/>
      <protection hidden="1"/>
    </xf>
    <xf numFmtId="4" fontId="0" fillId="2" borderId="13" xfId="0" applyNumberFormat="1" applyFill="1" applyBorder="1" applyAlignment="1" applyProtection="1">
      <alignment horizontal="center" vertical="center"/>
      <protection hidden="1"/>
    </xf>
    <xf numFmtId="4" fontId="0" fillId="5" borderId="13" xfId="0" applyNumberFormat="1" applyFill="1" applyBorder="1" applyAlignment="1" applyProtection="1">
      <alignment horizontal="center" vertical="center"/>
      <protection hidden="1"/>
    </xf>
    <xf numFmtId="164" fontId="0" fillId="5" borderId="13" xfId="0" quotePrefix="1" applyNumberFormat="1" applyFill="1" applyBorder="1" applyAlignment="1" applyProtection="1">
      <alignment horizontal="center" vertical="center"/>
      <protection hidden="1"/>
    </xf>
    <xf numFmtId="4" fontId="0" fillId="6" borderId="13" xfId="0" applyNumberFormat="1" applyFill="1" applyBorder="1" applyAlignment="1" applyProtection="1">
      <alignment horizontal="center" vertical="center"/>
      <protection hidden="1"/>
    </xf>
    <xf numFmtId="164" fontId="0" fillId="6" borderId="13" xfId="0" quotePrefix="1" applyNumberFormat="1" applyFill="1" applyBorder="1" applyAlignment="1" applyProtection="1">
      <alignment horizontal="center" vertical="center"/>
      <protection hidden="1"/>
    </xf>
    <xf numFmtId="4" fontId="0" fillId="7" borderId="13" xfId="0" applyNumberFormat="1" applyFill="1" applyBorder="1" applyAlignment="1" applyProtection="1">
      <alignment horizontal="center" vertical="center"/>
      <protection hidden="1"/>
    </xf>
    <xf numFmtId="164" fontId="0" fillId="7" borderId="13" xfId="0" quotePrefix="1" applyNumberFormat="1" applyFill="1" applyBorder="1" applyAlignment="1" applyProtection="1">
      <alignment horizontal="center" vertical="center"/>
      <protection hidden="1"/>
    </xf>
    <xf numFmtId="4" fontId="0" fillId="0" borderId="14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Border="1" applyAlignment="1" applyProtection="1">
      <alignment horizontal="center" vertical="center"/>
      <protection hidden="1"/>
    </xf>
    <xf numFmtId="4" fontId="0" fillId="2" borderId="0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4" fontId="0" fillId="0" borderId="12" xfId="0" applyNumberFormat="1" applyBorder="1" applyAlignment="1" applyProtection="1">
      <alignment horizontal="center" vertical="center"/>
      <protection hidden="1"/>
    </xf>
    <xf numFmtId="4" fontId="0" fillId="0" borderId="14" xfId="0" applyNumberFormat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 vertical="center" textRotation="255"/>
      <protection hidden="1"/>
    </xf>
    <xf numFmtId="17" fontId="0" fillId="0" borderId="16" xfId="0" applyNumberFormat="1" applyBorder="1" applyAlignment="1" applyProtection="1">
      <alignment horizontal="center" vertical="center"/>
      <protection hidden="1"/>
    </xf>
    <xf numFmtId="4" fontId="0" fillId="2" borderId="17" xfId="0" applyNumberFormat="1" applyFill="1" applyBorder="1" applyAlignment="1" applyProtection="1">
      <alignment horizontal="center" vertical="center"/>
      <protection hidden="1"/>
    </xf>
    <xf numFmtId="4" fontId="0" fillId="0" borderId="17" xfId="0" applyNumberFormat="1" applyBorder="1" applyAlignment="1" applyProtection="1">
      <alignment horizontal="center" vertical="center"/>
      <protection hidden="1"/>
    </xf>
    <xf numFmtId="4" fontId="0" fillId="5" borderId="17" xfId="0" applyNumberFormat="1" applyFill="1" applyBorder="1" applyAlignment="1" applyProtection="1">
      <alignment horizontal="center" vertical="center"/>
      <protection hidden="1"/>
    </xf>
    <xf numFmtId="164" fontId="0" fillId="5" borderId="17" xfId="0" applyNumberFormat="1" applyFill="1" applyBorder="1" applyAlignment="1" applyProtection="1">
      <alignment horizontal="center" vertical="center"/>
      <protection hidden="1"/>
    </xf>
    <xf numFmtId="4" fontId="0" fillId="6" borderId="17" xfId="0" applyNumberFormat="1" applyFill="1" applyBorder="1" applyAlignment="1" applyProtection="1">
      <alignment horizontal="center" vertical="center"/>
      <protection hidden="1"/>
    </xf>
    <xf numFmtId="164" fontId="0" fillId="6" borderId="17" xfId="0" applyNumberFormat="1" applyFill="1" applyBorder="1" applyAlignment="1" applyProtection="1">
      <alignment horizontal="center" vertical="center"/>
      <protection hidden="1"/>
    </xf>
    <xf numFmtId="4" fontId="0" fillId="7" borderId="17" xfId="0" applyNumberFormat="1" applyFill="1" applyBorder="1" applyAlignment="1" applyProtection="1">
      <alignment horizontal="center" vertical="center"/>
      <protection hidden="1"/>
    </xf>
    <xf numFmtId="164" fontId="0" fillId="7" borderId="17" xfId="0" applyNumberForma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4" fontId="0" fillId="0" borderId="16" xfId="0" applyNumberFormat="1" applyBorder="1" applyAlignment="1" applyProtection="1">
      <alignment horizontal="center" vertical="center"/>
      <protection hidden="1"/>
    </xf>
    <xf numFmtId="0" fontId="0" fillId="4" borderId="19" xfId="0" applyFill="1" applyBorder="1" applyAlignment="1" applyProtection="1">
      <alignment horizontal="center" vertical="center" textRotation="255"/>
      <protection hidden="1"/>
    </xf>
    <xf numFmtId="17" fontId="0" fillId="0" borderId="20" xfId="0" applyNumberFormat="1" applyBorder="1" applyAlignment="1" applyProtection="1">
      <alignment horizontal="center" vertical="center"/>
      <protection hidden="1"/>
    </xf>
    <xf numFmtId="4" fontId="0" fillId="2" borderId="21" xfId="0" applyNumberFormat="1" applyFill="1" applyBorder="1" applyAlignment="1" applyProtection="1">
      <alignment horizontal="center" vertical="center"/>
      <protection hidden="1"/>
    </xf>
    <xf numFmtId="4" fontId="0" fillId="0" borderId="21" xfId="0" applyNumberFormat="1" applyBorder="1" applyAlignment="1" applyProtection="1">
      <alignment horizontal="center" vertical="center"/>
      <protection hidden="1"/>
    </xf>
    <xf numFmtId="4" fontId="0" fillId="5" borderId="21" xfId="0" applyNumberFormat="1" applyFill="1" applyBorder="1" applyAlignment="1" applyProtection="1">
      <alignment horizontal="center" vertical="center"/>
      <protection hidden="1"/>
    </xf>
    <xf numFmtId="164" fontId="0" fillId="5" borderId="21" xfId="0" applyNumberFormat="1" applyFill="1" applyBorder="1" applyAlignment="1" applyProtection="1">
      <alignment horizontal="center" vertical="center"/>
      <protection hidden="1"/>
    </xf>
    <xf numFmtId="4" fontId="0" fillId="6" borderId="21" xfId="0" applyNumberFormat="1" applyFill="1" applyBorder="1" applyAlignment="1" applyProtection="1">
      <alignment horizontal="center" vertical="center"/>
      <protection hidden="1"/>
    </xf>
    <xf numFmtId="164" fontId="0" fillId="6" borderId="21" xfId="0" applyNumberFormat="1" applyFill="1" applyBorder="1" applyAlignment="1" applyProtection="1">
      <alignment horizontal="center" vertical="center"/>
      <protection hidden="1"/>
    </xf>
    <xf numFmtId="4" fontId="0" fillId="7" borderId="21" xfId="0" applyNumberFormat="1" applyFill="1" applyBorder="1" applyAlignment="1" applyProtection="1">
      <alignment horizontal="center" vertical="center"/>
      <protection hidden="1"/>
    </xf>
    <xf numFmtId="164" fontId="0" fillId="7" borderId="21" xfId="0" applyNumberFormat="1" applyFill="1" applyBorder="1" applyAlignment="1" applyProtection="1">
      <alignment horizontal="center" vertical="center"/>
      <protection hidden="1"/>
    </xf>
    <xf numFmtId="4" fontId="0" fillId="0" borderId="22" xfId="0" applyNumberFormat="1" applyBorder="1" applyAlignment="1" applyProtection="1">
      <alignment horizontal="center" vertical="center"/>
      <protection hidden="1"/>
    </xf>
    <xf numFmtId="4" fontId="0" fillId="0" borderId="20" xfId="0" applyNumberFormat="1" applyBorder="1" applyAlignment="1" applyProtection="1">
      <alignment horizontal="center" vertical="center"/>
      <protection hidden="1"/>
    </xf>
    <xf numFmtId="17" fontId="0" fillId="0" borderId="12" xfId="0" applyNumberFormat="1" applyBorder="1" applyAlignment="1" applyProtection="1">
      <alignment horizontal="center" vertical="center"/>
      <protection hidden="1"/>
    </xf>
    <xf numFmtId="4" fontId="0" fillId="0" borderId="13" xfId="0" applyNumberFormat="1" applyBorder="1" applyAlignment="1" applyProtection="1">
      <alignment horizontal="center" vertical="center"/>
      <protection hidden="1"/>
    </xf>
    <xf numFmtId="164" fontId="0" fillId="5" borderId="13" xfId="0" applyNumberFormat="1" applyFill="1" applyBorder="1" applyAlignment="1" applyProtection="1">
      <alignment horizontal="center" vertical="center"/>
      <protection hidden="1"/>
    </xf>
    <xf numFmtId="164" fontId="0" fillId="6" borderId="13" xfId="0" applyNumberFormat="1" applyFill="1" applyBorder="1" applyAlignment="1" applyProtection="1">
      <alignment horizontal="center" vertical="center"/>
      <protection hidden="1"/>
    </xf>
    <xf numFmtId="164" fontId="0" fillId="7" borderId="13" xfId="0" applyNumberFormat="1" applyFill="1" applyBorder="1" applyAlignment="1" applyProtection="1">
      <alignment horizontal="center" vertical="center"/>
      <protection hidden="1"/>
    </xf>
    <xf numFmtId="4" fontId="3" fillId="0" borderId="0" xfId="0" applyNumberFormat="1" applyFont="1" applyFill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17" fontId="0" fillId="0" borderId="17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11" borderId="1" xfId="0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3" xfId="0" quotePrefix="1" applyNumberFormat="1" applyFont="1" applyFill="1" applyBorder="1" applyAlignment="1" applyProtection="1">
      <alignment horizontal="center" vertical="center" textRotation="45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164" fontId="0" fillId="0" borderId="4" xfId="0" applyNumberFormat="1" applyFill="1" applyBorder="1" applyAlignment="1" applyProtection="1">
      <alignment horizontal="center" vertical="center"/>
      <protection hidden="1"/>
    </xf>
    <xf numFmtId="4" fontId="0" fillId="0" borderId="4" xfId="0" applyNumberFormat="1" applyFill="1" applyBorder="1" applyAlignment="1" applyProtection="1">
      <alignment horizontal="center" vertical="center"/>
      <protection hidden="1"/>
    </xf>
    <xf numFmtId="4" fontId="0" fillId="0" borderId="5" xfId="0" applyNumberFormat="1" applyFill="1" applyBorder="1" applyAlignment="1" applyProtection="1">
      <alignment horizontal="center" vertical="center"/>
      <protection hidden="1"/>
    </xf>
    <xf numFmtId="0" fontId="3" fillId="0" borderId="7" xfId="0" quotePrefix="1" applyNumberFormat="1" applyFont="1" applyFill="1" applyBorder="1" applyAlignment="1" applyProtection="1">
      <alignment horizontal="center" vertical="center" textRotation="45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4" fontId="0" fillId="0" borderId="10" xfId="0" applyNumberFormat="1" applyFill="1" applyBorder="1" applyAlignment="1" applyProtection="1">
      <alignment horizontal="center" vertical="center"/>
      <protection hidden="1"/>
    </xf>
    <xf numFmtId="0" fontId="3" fillId="0" borderId="23" xfId="0" quotePrefix="1" applyNumberFormat="1" applyFont="1" applyFill="1" applyBorder="1" applyAlignment="1" applyProtection="1">
      <alignment horizontal="center" vertical="center" textRotation="45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24" xfId="0" applyNumberFormat="1" applyFill="1" applyBorder="1" applyAlignment="1" applyProtection="1">
      <alignment horizontal="center" vertical="center"/>
      <protection hidden="1"/>
    </xf>
    <xf numFmtId="0" fontId="3" fillId="0" borderId="3" xfId="0" quotePrefix="1" applyNumberFormat="1" applyFont="1" applyFill="1" applyBorder="1" applyAlignment="1" applyProtection="1">
      <alignment horizontal="center" vertical="center" textRotation="45" wrapText="1"/>
      <protection hidden="1"/>
    </xf>
    <xf numFmtId="0" fontId="3" fillId="0" borderId="7" xfId="0" quotePrefix="1" applyNumberFormat="1" applyFont="1" applyFill="1" applyBorder="1" applyAlignment="1" applyProtection="1">
      <alignment horizontal="center" vertical="center" textRotation="45" wrapText="1"/>
      <protection hidden="1"/>
    </xf>
    <xf numFmtId="0" fontId="3" fillId="0" borderId="23" xfId="0" quotePrefix="1" applyNumberFormat="1" applyFont="1" applyFill="1" applyBorder="1" applyAlignment="1" applyProtection="1">
      <alignment horizontal="center" vertical="center" textRotation="45" wrapText="1"/>
      <protection hidden="1"/>
    </xf>
    <xf numFmtId="0" fontId="0" fillId="0" borderId="7" xfId="0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3" fillId="0" borderId="0" xfId="0" quotePrefix="1" applyNumberFormat="1" applyFont="1" applyFill="1" applyBorder="1" applyAlignment="1" applyProtection="1">
      <alignment vertical="center" textRotation="45"/>
      <protection hidden="1"/>
    </xf>
    <xf numFmtId="0" fontId="3" fillId="0" borderId="0" xfId="0" applyNumberFormat="1" applyFont="1" applyFill="1" applyBorder="1" applyAlignment="1" applyProtection="1">
      <alignment vertical="center" textRotation="45"/>
      <protection hidden="1"/>
    </xf>
    <xf numFmtId="0" fontId="3" fillId="0" borderId="0" xfId="0" quotePrefix="1" applyNumberFormat="1" applyFont="1" applyFill="1" applyBorder="1" applyAlignment="1" applyProtection="1">
      <alignment vertical="center" textRotation="45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3" fillId="0" borderId="3" xfId="0" quotePrefix="1" applyNumberFormat="1" applyFont="1" applyBorder="1" applyAlignment="1" applyProtection="1">
      <alignment horizontal="center" vertical="center" textRotation="45"/>
      <protection hidden="1"/>
    </xf>
    <xf numFmtId="0" fontId="3" fillId="0" borderId="3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7" xfId="0" applyNumberFormat="1" applyFont="1" applyBorder="1" applyAlignment="1" applyProtection="1">
      <alignment horizontal="center" vertical="center" textRotation="45"/>
      <protection hidden="1"/>
    </xf>
    <xf numFmtId="0" fontId="3" fillId="0" borderId="7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23" xfId="0" applyNumberFormat="1" applyFont="1" applyBorder="1" applyAlignment="1" applyProtection="1">
      <alignment horizontal="center" vertical="center" textRotation="45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3" fillId="0" borderId="23" xfId="0" applyNumberFormat="1" applyFont="1" applyFill="1" applyBorder="1" applyAlignment="1" applyProtection="1">
      <alignment horizontal="center" vertical="center" textRotation="45"/>
      <protection hidden="1"/>
    </xf>
    <xf numFmtId="0" fontId="3" fillId="0" borderId="3" xfId="0" quotePrefix="1" applyNumberFormat="1" applyFont="1" applyBorder="1" applyAlignment="1" applyProtection="1">
      <alignment horizontal="center" textRotation="45" wrapTex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3" fillId="0" borderId="23" xfId="0" applyNumberFormat="1" applyFont="1" applyBorder="1" applyAlignment="1" applyProtection="1">
      <alignment horizontal="center" textRotation="45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76" Type="http://schemas.openxmlformats.org/officeDocument/2006/relationships/externalLink" Target="externalLinks/externalLink72.xml"/><Relationship Id="rId84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externalLink" Target="externalLinks/externalLink62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82" Type="http://schemas.openxmlformats.org/officeDocument/2006/relationships/theme" Target="theme/theme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mensal/taxa de ocupação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Kwh/(evento.m2)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Mod_3!$Y$5:$Y$16</c:f>
              <c:numCache>
                <c:formatCode>#,##0.00</c:formatCode>
                <c:ptCount val="12"/>
                <c:pt idx="0">
                  <c:v>0.44850485458845979</c:v>
                </c:pt>
                <c:pt idx="1">
                  <c:v>0.44909356794425964</c:v>
                </c:pt>
                <c:pt idx="2">
                  <c:v>0.33864361714491253</c:v>
                </c:pt>
                <c:pt idx="3">
                  <c:v>0.25611281085703136</c:v>
                </c:pt>
                <c:pt idx="4">
                  <c:v>0.23903761575183616</c:v>
                </c:pt>
                <c:pt idx="5">
                  <c:v>0.26861677775525983</c:v>
                </c:pt>
                <c:pt idx="6">
                  <c:v>0.2909970521481241</c:v>
                </c:pt>
                <c:pt idx="7">
                  <c:v>0.29657000987156085</c:v>
                </c:pt>
                <c:pt idx="8">
                  <c:v>0.27883678458954453</c:v>
                </c:pt>
                <c:pt idx="9">
                  <c:v>0.24659937362281911</c:v>
                </c:pt>
                <c:pt idx="10">
                  <c:v>0.31095538541614592</c:v>
                </c:pt>
                <c:pt idx="11">
                  <c:v>0.40482490121376452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05856"/>
        <c:axId val="93532928"/>
      </c:barChart>
      <c:catAx>
        <c:axId val="93305856"/>
        <c:scaling>
          <c:orientation val="minMax"/>
        </c:scaling>
        <c:delete val="0"/>
        <c:axPos val="b"/>
        <c:majorTickMark val="out"/>
        <c:minorTickMark val="none"/>
        <c:tickLblPos val="nextTo"/>
        <c:crossAx val="93532928"/>
        <c:crosses val="autoZero"/>
        <c:auto val="1"/>
        <c:lblAlgn val="ctr"/>
        <c:lblOffset val="100"/>
        <c:noMultiLvlLbl val="0"/>
      </c:catAx>
      <c:valAx>
        <c:axId val="935329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kWh/(Evento.m</a:t>
                </a:r>
                <a:r>
                  <a:rPr lang="pt-PT" baseline="30000"/>
                  <a:t>2</a:t>
                </a:r>
                <a:r>
                  <a:rPr lang="pt-PT" baseline="0"/>
                  <a:t>)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93305856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FimOcup._3!$E$8:$E$19</c:f>
              <c:numCache>
                <c:formatCode>#,##0.00</c:formatCode>
                <c:ptCount val="12"/>
                <c:pt idx="0">
                  <c:v>9.7007745395733771</c:v>
                </c:pt>
                <c:pt idx="1">
                  <c:v>8.0124527107758414</c:v>
                </c:pt>
                <c:pt idx="2">
                  <c:v>6.0879863695369032</c:v>
                </c:pt>
                <c:pt idx="3">
                  <c:v>4.0044085476766362</c:v>
                </c:pt>
                <c:pt idx="4">
                  <c:v>4.0727422251136671</c:v>
                </c:pt>
                <c:pt idx="5">
                  <c:v>4.7434560104021184</c:v>
                </c:pt>
                <c:pt idx="6">
                  <c:v>5.8705160705300834</c:v>
                </c:pt>
                <c:pt idx="7">
                  <c:v>6.1223192081233329</c:v>
                </c:pt>
                <c:pt idx="8">
                  <c:v>5.3772610641885059</c:v>
                </c:pt>
                <c:pt idx="9">
                  <c:v>4.6798022776651624</c:v>
                </c:pt>
                <c:pt idx="10">
                  <c:v>6.1222496589346544</c:v>
                </c:pt>
                <c:pt idx="11">
                  <c:v>8.9367235227504782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68224"/>
        <c:axId val="10869760"/>
      </c:barChart>
      <c:catAx>
        <c:axId val="108682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869760"/>
        <c:crosses val="autoZero"/>
        <c:auto val="1"/>
        <c:lblAlgn val="ctr"/>
        <c:lblOffset val="100"/>
        <c:noMultiLvlLbl val="0"/>
      </c:catAx>
      <c:valAx>
        <c:axId val="1086976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86822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Consumo Médio Global Mensal/Área - "Depois"</a:t>
            </a:r>
            <a:endParaRPr lang="pt-PT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FimOcup._3!$I$8:$I$19</c:f>
              <c:numCache>
                <c:formatCode>#,##0.00</c:formatCode>
                <c:ptCount val="12"/>
                <c:pt idx="0">
                  <c:v>9.008723526855885</c:v>
                </c:pt>
                <c:pt idx="1">
                  <c:v>8.2963768898445203</c:v>
                </c:pt>
                <c:pt idx="2">
                  <c:v>7.2826143502229064</c:v>
                </c:pt>
                <c:pt idx="3">
                  <c:v>5.6971718320243827</c:v>
                </c:pt>
                <c:pt idx="4">
                  <c:v>5.2128137124438974</c:v>
                </c:pt>
                <c:pt idx="5">
                  <c:v>5.5167618285993303</c:v>
                </c:pt>
                <c:pt idx="6">
                  <c:v>6.314450174300223</c:v>
                </c:pt>
                <c:pt idx="7">
                  <c:v>6.2821620556106321</c:v>
                </c:pt>
                <c:pt idx="8">
                  <c:v>5.4838236136677736</c:v>
                </c:pt>
                <c:pt idx="9">
                  <c:v>4.1728727897866644</c:v>
                </c:pt>
                <c:pt idx="10">
                  <c:v>4.9413436270667201</c:v>
                </c:pt>
                <c:pt idx="11">
                  <c:v>6.4743551231912191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82432"/>
        <c:axId val="10884224"/>
      </c:barChart>
      <c:catAx>
        <c:axId val="108824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84224"/>
        <c:crosses val="autoZero"/>
        <c:auto val="1"/>
        <c:lblAlgn val="ctr"/>
        <c:lblOffset val="100"/>
        <c:noMultiLvlLbl val="0"/>
      </c:catAx>
      <c:valAx>
        <c:axId val="1088422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88243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Global Mensal/Área - "Antes&amp;Depois"</a:t>
            </a:r>
            <a:endParaRPr lang="pt-PT" sz="11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FimOcup._3!$E$8:$E$19</c:f>
              <c:numCache>
                <c:formatCode>#,##0.00</c:formatCode>
                <c:ptCount val="12"/>
                <c:pt idx="0">
                  <c:v>9.7007745395733771</c:v>
                </c:pt>
                <c:pt idx="1">
                  <c:v>8.0124527107758414</c:v>
                </c:pt>
                <c:pt idx="2">
                  <c:v>6.0879863695369032</c:v>
                </c:pt>
                <c:pt idx="3">
                  <c:v>4.0044085476766362</c:v>
                </c:pt>
                <c:pt idx="4">
                  <c:v>4.0727422251136671</c:v>
                </c:pt>
                <c:pt idx="5">
                  <c:v>4.7434560104021184</c:v>
                </c:pt>
                <c:pt idx="6">
                  <c:v>5.8705160705300834</c:v>
                </c:pt>
                <c:pt idx="7">
                  <c:v>6.1223192081233329</c:v>
                </c:pt>
                <c:pt idx="8">
                  <c:v>5.3772610641885059</c:v>
                </c:pt>
                <c:pt idx="9">
                  <c:v>4.6798022776651624</c:v>
                </c:pt>
                <c:pt idx="10">
                  <c:v>6.1222496589346544</c:v>
                </c:pt>
                <c:pt idx="11">
                  <c:v>8.9367235227504782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FimOcup._3!$I$8:$I$19</c:f>
              <c:numCache>
                <c:formatCode>#,##0.00</c:formatCode>
                <c:ptCount val="12"/>
                <c:pt idx="0">
                  <c:v>9.008723526855885</c:v>
                </c:pt>
                <c:pt idx="1">
                  <c:v>8.2963768898445203</c:v>
                </c:pt>
                <c:pt idx="2">
                  <c:v>7.2826143502229064</c:v>
                </c:pt>
                <c:pt idx="3">
                  <c:v>5.6971718320243827</c:v>
                </c:pt>
                <c:pt idx="4">
                  <c:v>5.2128137124438974</c:v>
                </c:pt>
                <c:pt idx="5">
                  <c:v>5.5167618285993303</c:v>
                </c:pt>
                <c:pt idx="6">
                  <c:v>6.314450174300223</c:v>
                </c:pt>
                <c:pt idx="7">
                  <c:v>6.2821620556106321</c:v>
                </c:pt>
                <c:pt idx="8">
                  <c:v>5.4838236136677736</c:v>
                </c:pt>
                <c:pt idx="9">
                  <c:v>4.1728727897866644</c:v>
                </c:pt>
                <c:pt idx="10">
                  <c:v>4.9413436270667201</c:v>
                </c:pt>
                <c:pt idx="11">
                  <c:v>6.4743551231912191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0336"/>
        <c:axId val="10916224"/>
      </c:barChart>
      <c:catAx>
        <c:axId val="10910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0916224"/>
        <c:crosses val="autoZero"/>
        <c:auto val="1"/>
        <c:lblAlgn val="ctr"/>
        <c:lblOffset val="100"/>
        <c:noMultiLvlLbl val="0"/>
      </c:catAx>
      <c:valAx>
        <c:axId val="1091622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091033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 Mensal de Iluminação&amp;Tomadas/Área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FimOcup._3!$E$24:$E$35</c:f>
              <c:numCache>
                <c:formatCode>#,##0.00</c:formatCode>
                <c:ptCount val="12"/>
                <c:pt idx="0">
                  <c:v>3.64356569084838</c:v>
                </c:pt>
                <c:pt idx="1">
                  <c:v>2.9345829481047736</c:v>
                </c:pt>
                <c:pt idx="2">
                  <c:v>2.8210829450101338</c:v>
                </c:pt>
                <c:pt idx="3">
                  <c:v>2.5098495609393838</c:v>
                </c:pt>
                <c:pt idx="4">
                  <c:v>2.7566444660096705</c:v>
                </c:pt>
                <c:pt idx="5">
                  <c:v>2.7575823079599715</c:v>
                </c:pt>
                <c:pt idx="6">
                  <c:v>3.0622688999491534</c:v>
                </c:pt>
                <c:pt idx="7">
                  <c:v>3.1146013826067307</c:v>
                </c:pt>
                <c:pt idx="8">
                  <c:v>2.8012579325306755</c:v>
                </c:pt>
                <c:pt idx="9">
                  <c:v>2.9464048108096703</c:v>
                </c:pt>
                <c:pt idx="10">
                  <c:v>3.3301485480761746</c:v>
                </c:pt>
                <c:pt idx="11">
                  <c:v>3.7545534685467477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472"/>
        <c:axId val="10955008"/>
      </c:barChart>
      <c:catAx>
        <c:axId val="109534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55008"/>
        <c:crosses val="autoZero"/>
        <c:auto val="1"/>
        <c:lblAlgn val="ctr"/>
        <c:lblOffset val="100"/>
        <c:noMultiLvlLbl val="0"/>
      </c:catAx>
      <c:valAx>
        <c:axId val="10955008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09534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Consumo Médio Mensal de </a:t>
            </a:r>
            <a:r>
              <a:rPr lang="en-US" sz="1100" b="1" i="0" u="none" strike="noStrike" baseline="0">
                <a:effectLst/>
              </a:rPr>
              <a:t>Iluminação&amp;Tomadas</a:t>
            </a:r>
            <a:r>
              <a:rPr lang="en-US" sz="1100"/>
              <a:t>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FimOcup._3!$G$24:$G$35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FimOcup._3!$I$24:$I$35</c:f>
              <c:numCache>
                <c:formatCode>#,##0.00</c:formatCode>
                <c:ptCount val="12"/>
                <c:pt idx="0">
                  <c:v>3.2845623350949578</c:v>
                </c:pt>
                <c:pt idx="1">
                  <c:v>2.9061500485715266</c:v>
                </c:pt>
                <c:pt idx="2">
                  <c:v>3.3115970126457408</c:v>
                </c:pt>
                <c:pt idx="3">
                  <c:v>2.9597196984997605</c:v>
                </c:pt>
                <c:pt idx="4">
                  <c:v>2.948827524059134</c:v>
                </c:pt>
                <c:pt idx="5">
                  <c:v>2.8692888889586747</c:v>
                </c:pt>
                <c:pt idx="6">
                  <c:v>3.0720272660698829</c:v>
                </c:pt>
                <c:pt idx="7">
                  <c:v>3.1385675026117963</c:v>
                </c:pt>
                <c:pt idx="8">
                  <c:v>2.9444458279024839</c:v>
                </c:pt>
                <c:pt idx="9">
                  <c:v>3.0551817481751025</c:v>
                </c:pt>
                <c:pt idx="10">
                  <c:v>3.0849432944631476</c:v>
                </c:pt>
                <c:pt idx="11">
                  <c:v>3.2340503594445047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7680"/>
        <c:axId val="10981760"/>
      </c:barChart>
      <c:catAx>
        <c:axId val="1096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981760"/>
        <c:crosses val="autoZero"/>
        <c:auto val="1"/>
        <c:lblAlgn val="ctr"/>
        <c:lblOffset val="100"/>
        <c:noMultiLvlLbl val="0"/>
      </c:catAx>
      <c:valAx>
        <c:axId val="1098176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096768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Consumo Médio Mensal de </a:t>
            </a:r>
            <a:r>
              <a:rPr lang="en-US" sz="1000" b="1" i="0" u="none" strike="noStrike" baseline="0">
                <a:effectLst/>
              </a:rPr>
              <a:t>Iluminação&amp;Tomadas</a:t>
            </a:r>
            <a:r>
              <a:rPr lang="en-US" sz="1000"/>
              <a:t>/Área  - "Antes &amp; Depois"</a:t>
            </a:r>
            <a:endParaRPr lang="pt-PT" sz="10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FimOcup._3!$C$24:$C$35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FimOcup._3!$E$24:$E$35</c:f>
              <c:numCache>
                <c:formatCode>#,##0.00</c:formatCode>
                <c:ptCount val="12"/>
                <c:pt idx="0">
                  <c:v>3.64356569084838</c:v>
                </c:pt>
                <c:pt idx="1">
                  <c:v>2.9345829481047736</c:v>
                </c:pt>
                <c:pt idx="2">
                  <c:v>2.8210829450101338</c:v>
                </c:pt>
                <c:pt idx="3">
                  <c:v>2.5098495609393838</c:v>
                </c:pt>
                <c:pt idx="4">
                  <c:v>2.7566444660096705</c:v>
                </c:pt>
                <c:pt idx="5">
                  <c:v>2.7575823079599715</c:v>
                </c:pt>
                <c:pt idx="6">
                  <c:v>3.0622688999491534</c:v>
                </c:pt>
                <c:pt idx="7">
                  <c:v>3.1146013826067307</c:v>
                </c:pt>
                <c:pt idx="8">
                  <c:v>2.8012579325306755</c:v>
                </c:pt>
                <c:pt idx="9">
                  <c:v>2.9464048108096703</c:v>
                </c:pt>
                <c:pt idx="10">
                  <c:v>3.3301485480761746</c:v>
                </c:pt>
                <c:pt idx="11">
                  <c:v>3.7545534685467477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FimOcup._3!$I$24:$I$35</c:f>
              <c:numCache>
                <c:formatCode>#,##0.00</c:formatCode>
                <c:ptCount val="12"/>
                <c:pt idx="0">
                  <c:v>3.2845623350949578</c:v>
                </c:pt>
                <c:pt idx="1">
                  <c:v>2.9061500485715266</c:v>
                </c:pt>
                <c:pt idx="2">
                  <c:v>3.3115970126457408</c:v>
                </c:pt>
                <c:pt idx="3">
                  <c:v>2.9597196984997605</c:v>
                </c:pt>
                <c:pt idx="4">
                  <c:v>2.948827524059134</c:v>
                </c:pt>
                <c:pt idx="5">
                  <c:v>2.8692888889586747</c:v>
                </c:pt>
                <c:pt idx="6">
                  <c:v>3.0720272660698829</c:v>
                </c:pt>
                <c:pt idx="7">
                  <c:v>3.1385675026117963</c:v>
                </c:pt>
                <c:pt idx="8">
                  <c:v>2.9444458279024839</c:v>
                </c:pt>
                <c:pt idx="9">
                  <c:v>3.0551817481751025</c:v>
                </c:pt>
                <c:pt idx="10">
                  <c:v>3.0849432944631476</c:v>
                </c:pt>
                <c:pt idx="11">
                  <c:v>3.2340503594445047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3776"/>
        <c:axId val="11005312"/>
      </c:barChart>
      <c:catAx>
        <c:axId val="11003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05312"/>
        <c:crosses val="autoZero"/>
        <c:auto val="1"/>
        <c:lblAlgn val="ctr"/>
        <c:lblOffset val="100"/>
        <c:noMultiLvlLbl val="0"/>
      </c:catAx>
      <c:valAx>
        <c:axId val="11005312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1100377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Chillers_3!$E$8:$E$19</c:f>
              <c:numCache>
                <c:formatCode>#,##0.00</c:formatCode>
                <c:ptCount val="12"/>
                <c:pt idx="0">
                  <c:v>9.6876708039310682</c:v>
                </c:pt>
                <c:pt idx="1">
                  <c:v>7.920034120569845</c:v>
                </c:pt>
                <c:pt idx="2">
                  <c:v>6.8689630772292869</c:v>
                </c:pt>
                <c:pt idx="3">
                  <c:v>5.013515137388314</c:v>
                </c:pt>
                <c:pt idx="4">
                  <c:v>4.6002513857137162</c:v>
                </c:pt>
                <c:pt idx="5">
                  <c:v>5.0546918557255083</c:v>
                </c:pt>
                <c:pt idx="6">
                  <c:v>6.1019270457327179</c:v>
                </c:pt>
                <c:pt idx="7">
                  <c:v>6.1288943742302777</c:v>
                </c:pt>
                <c:pt idx="8">
                  <c:v>5.1823195615125632</c:v>
                </c:pt>
                <c:pt idx="9">
                  <c:v>4.7895505342522613</c:v>
                </c:pt>
                <c:pt idx="10">
                  <c:v>6.0107475615995511</c:v>
                </c:pt>
                <c:pt idx="11">
                  <c:v>9.2175741893403256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361088"/>
        <c:axId val="92362624"/>
      </c:barChart>
      <c:catAx>
        <c:axId val="92361088"/>
        <c:scaling>
          <c:orientation val="minMax"/>
        </c:scaling>
        <c:delete val="0"/>
        <c:axPos val="b"/>
        <c:majorTickMark val="out"/>
        <c:minorTickMark val="none"/>
        <c:tickLblPos val="nextTo"/>
        <c:crossAx val="92362624"/>
        <c:crosses val="autoZero"/>
        <c:auto val="1"/>
        <c:lblAlgn val="ctr"/>
        <c:lblOffset val="100"/>
        <c:noMultiLvlLbl val="0"/>
      </c:catAx>
      <c:valAx>
        <c:axId val="9236262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9236108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"Depois"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Chillers_3!$G$8:$G$19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Chillers_3!$I$8:$I$19</c:f>
              <c:numCache>
                <c:formatCode>#,##0.00</c:formatCode>
                <c:ptCount val="12"/>
                <c:pt idx="0">
                  <c:v>6.9980891669149541</c:v>
                </c:pt>
                <c:pt idx="1">
                  <c:v>9.6102423780805317</c:v>
                </c:pt>
                <c:pt idx="2">
                  <c:v>6.9616147538189912</c:v>
                </c:pt>
                <c:pt idx="3">
                  <c:v>5.729928736509236</c:v>
                </c:pt>
                <c:pt idx="4">
                  <c:v>5.9954823714343464</c:v>
                </c:pt>
                <c:pt idx="5">
                  <c:v>6.2805000565740201</c:v>
                </c:pt>
                <c:pt idx="6">
                  <c:v>6.4891976095974666</c:v>
                </c:pt>
                <c:pt idx="7">
                  <c:v>6.7288147675378047</c:v>
                </c:pt>
                <c:pt idx="8">
                  <c:v>6.7782187754852883</c:v>
                </c:pt>
                <c:pt idx="9">
                  <c:v>6.0399875273939712</c:v>
                </c:pt>
                <c:pt idx="10">
                  <c:v>6.5871662601742011</c:v>
                </c:pt>
                <c:pt idx="11">
                  <c:v>6.8509019478637967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7968"/>
        <c:axId val="93523968"/>
      </c:barChart>
      <c:catAx>
        <c:axId val="93427968"/>
        <c:scaling>
          <c:orientation val="minMax"/>
        </c:scaling>
        <c:delete val="0"/>
        <c:axPos val="b"/>
        <c:majorTickMark val="out"/>
        <c:minorTickMark val="none"/>
        <c:tickLblPos val="nextTo"/>
        <c:crossAx val="93523968"/>
        <c:crosses val="autoZero"/>
        <c:auto val="1"/>
        <c:lblAlgn val="ctr"/>
        <c:lblOffset val="100"/>
        <c:noMultiLvlLbl val="0"/>
      </c:catAx>
      <c:valAx>
        <c:axId val="9352396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934279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Global Mensal/Área - "Antes&amp;Depois"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Chillers_3!$C$8:$C$19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Chillers_3!$E$8:$E$19</c:f>
              <c:numCache>
                <c:formatCode>#,##0.00</c:formatCode>
                <c:ptCount val="12"/>
                <c:pt idx="0">
                  <c:v>9.6876708039310682</c:v>
                </c:pt>
                <c:pt idx="1">
                  <c:v>7.920034120569845</c:v>
                </c:pt>
                <c:pt idx="2">
                  <c:v>6.8689630772292869</c:v>
                </c:pt>
                <c:pt idx="3">
                  <c:v>5.013515137388314</c:v>
                </c:pt>
                <c:pt idx="4">
                  <c:v>4.6002513857137162</c:v>
                </c:pt>
                <c:pt idx="5">
                  <c:v>5.0546918557255083</c:v>
                </c:pt>
                <c:pt idx="6">
                  <c:v>6.1019270457327179</c:v>
                </c:pt>
                <c:pt idx="7">
                  <c:v>6.1288943742302777</c:v>
                </c:pt>
                <c:pt idx="8">
                  <c:v>5.1823195615125632</c:v>
                </c:pt>
                <c:pt idx="9">
                  <c:v>4.7895505342522613</c:v>
                </c:pt>
                <c:pt idx="10">
                  <c:v>6.0107475615995511</c:v>
                </c:pt>
                <c:pt idx="11">
                  <c:v>9.2175741893403256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Chillers_3!$I$8:$I$19</c:f>
              <c:numCache>
                <c:formatCode>#,##0.00</c:formatCode>
                <c:ptCount val="12"/>
                <c:pt idx="0">
                  <c:v>6.9980891669149541</c:v>
                </c:pt>
                <c:pt idx="1">
                  <c:v>9.6102423780805317</c:v>
                </c:pt>
                <c:pt idx="2">
                  <c:v>6.9616147538189912</c:v>
                </c:pt>
                <c:pt idx="3">
                  <c:v>5.729928736509236</c:v>
                </c:pt>
                <c:pt idx="4">
                  <c:v>5.9954823714343464</c:v>
                </c:pt>
                <c:pt idx="5">
                  <c:v>6.2805000565740201</c:v>
                </c:pt>
                <c:pt idx="6">
                  <c:v>6.4891976095974666</c:v>
                </c:pt>
                <c:pt idx="7">
                  <c:v>6.7288147675378047</c:v>
                </c:pt>
                <c:pt idx="8">
                  <c:v>6.7782187754852883</c:v>
                </c:pt>
                <c:pt idx="9">
                  <c:v>6.0399875273939712</c:v>
                </c:pt>
                <c:pt idx="10">
                  <c:v>6.5871662601742011</c:v>
                </c:pt>
                <c:pt idx="11">
                  <c:v>6.8509019478637967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87648"/>
        <c:axId val="93789184"/>
      </c:barChart>
      <c:catAx>
        <c:axId val="93787648"/>
        <c:scaling>
          <c:orientation val="minMax"/>
        </c:scaling>
        <c:delete val="0"/>
        <c:axPos val="b"/>
        <c:majorTickMark val="none"/>
        <c:minorTickMark val="none"/>
        <c:tickLblPos val="nextTo"/>
        <c:crossAx val="93789184"/>
        <c:crosses val="autoZero"/>
        <c:auto val="1"/>
        <c:lblAlgn val="ctr"/>
        <c:lblOffset val="100"/>
        <c:noMultiLvlLbl val="0"/>
      </c:catAx>
      <c:valAx>
        <c:axId val="93789184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9378764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 Mensal de AC Frio/Área  - "Antes"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Chillers_3!$E$24:$E$35</c:f>
              <c:numCache>
                <c:formatCode>#,##0.00</c:formatCode>
                <c:ptCount val="12"/>
                <c:pt idx="0">
                  <c:v>1.8424118042725937</c:v>
                </c:pt>
                <c:pt idx="1">
                  <c:v>1.5499535266072422</c:v>
                </c:pt>
                <c:pt idx="2">
                  <c:v>1.8095442918202367</c:v>
                </c:pt>
                <c:pt idx="3">
                  <c:v>1.6440075526916769</c:v>
                </c:pt>
                <c:pt idx="4">
                  <c:v>1.7075445415352579</c:v>
                </c:pt>
                <c:pt idx="5">
                  <c:v>2.2418333072001264</c:v>
                </c:pt>
                <c:pt idx="6">
                  <c:v>3.0081155375884703</c:v>
                </c:pt>
                <c:pt idx="7">
                  <c:v>3.0029720479069653</c:v>
                </c:pt>
                <c:pt idx="8">
                  <c:v>2.3263599498934999</c:v>
                </c:pt>
                <c:pt idx="9">
                  <c:v>1.7817920782991177</c:v>
                </c:pt>
                <c:pt idx="10">
                  <c:v>1.6339296870556974</c:v>
                </c:pt>
                <c:pt idx="11">
                  <c:v>1.9435960741834899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10048"/>
        <c:axId val="93836416"/>
      </c:barChart>
      <c:catAx>
        <c:axId val="93810048"/>
        <c:scaling>
          <c:orientation val="minMax"/>
        </c:scaling>
        <c:delete val="0"/>
        <c:axPos val="b"/>
        <c:majorTickMark val="out"/>
        <c:minorTickMark val="none"/>
        <c:tickLblPos val="nextTo"/>
        <c:crossAx val="93836416"/>
        <c:crosses val="autoZero"/>
        <c:auto val="1"/>
        <c:lblAlgn val="ctr"/>
        <c:lblOffset val="100"/>
        <c:noMultiLvlLbl val="0"/>
      </c:catAx>
      <c:valAx>
        <c:axId val="93836416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938100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médio mensal/área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Mod_3!$X$5:$X$16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Mod_3!$Z$5:$Z$16</c:f>
              <c:numCache>
                <c:formatCode>#,##0.00</c:formatCode>
                <c:ptCount val="12"/>
                <c:pt idx="0">
                  <c:v>9.2394071977617163</c:v>
                </c:pt>
                <c:pt idx="1">
                  <c:v>8.2017354968216267</c:v>
                </c:pt>
                <c:pt idx="2">
                  <c:v>6.8844050233275711</c:v>
                </c:pt>
                <c:pt idx="3">
                  <c:v>5.1329174039084675</c:v>
                </c:pt>
                <c:pt idx="4">
                  <c:v>4.8327898833338212</c:v>
                </c:pt>
                <c:pt idx="5">
                  <c:v>5.2589932225335936</c:v>
                </c:pt>
                <c:pt idx="6">
                  <c:v>6.1664721397101765</c:v>
                </c:pt>
                <c:pt idx="7">
                  <c:v>6.228881106448199</c:v>
                </c:pt>
                <c:pt idx="8">
                  <c:v>5.448302763841351</c:v>
                </c:pt>
                <c:pt idx="9">
                  <c:v>4.9979566997758793</c:v>
                </c:pt>
                <c:pt idx="10">
                  <c:v>6.2028871277911009</c:v>
                </c:pt>
                <c:pt idx="11">
                  <c:v>8.428683442181482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047104"/>
        <c:axId val="118048640"/>
      </c:barChart>
      <c:catAx>
        <c:axId val="118047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8048640"/>
        <c:crosses val="autoZero"/>
        <c:auto val="1"/>
        <c:lblAlgn val="ctr"/>
        <c:lblOffset val="100"/>
        <c:noMultiLvlLbl val="0"/>
      </c:catAx>
      <c:valAx>
        <c:axId val="118048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1804710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"Depois"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Chillers_3!$G$24:$G$35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Chillers_3!$I$24:$I$35</c:f>
              <c:numCache>
                <c:formatCode>#,##0.00</c:formatCode>
                <c:ptCount val="12"/>
                <c:pt idx="0">
                  <c:v>0.7627253606445713</c:v>
                </c:pt>
                <c:pt idx="1">
                  <c:v>1.3249968499646034</c:v>
                </c:pt>
                <c:pt idx="2">
                  <c:v>1.8286019055519176</c:v>
                </c:pt>
                <c:pt idx="3">
                  <c:v>1.9394651836375898</c:v>
                </c:pt>
                <c:pt idx="4">
                  <c:v>2.950564220309841</c:v>
                </c:pt>
                <c:pt idx="5">
                  <c:v>3.3524726274462817</c:v>
                </c:pt>
                <c:pt idx="6">
                  <c:v>3.5456103313749225</c:v>
                </c:pt>
                <c:pt idx="7">
                  <c:v>3.5749536234937178</c:v>
                </c:pt>
                <c:pt idx="8">
                  <c:v>3.6777176569093224</c:v>
                </c:pt>
                <c:pt idx="9">
                  <c:v>2.589547261437418</c:v>
                </c:pt>
                <c:pt idx="10">
                  <c:v>1.4621844106048105</c:v>
                </c:pt>
                <c:pt idx="11">
                  <c:v>0.78481509501156399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22816"/>
        <c:axId val="93924352"/>
      </c:barChart>
      <c:catAx>
        <c:axId val="93922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3924352"/>
        <c:crosses val="autoZero"/>
        <c:auto val="1"/>
        <c:lblAlgn val="ctr"/>
        <c:lblOffset val="100"/>
        <c:noMultiLvlLbl val="0"/>
      </c:catAx>
      <c:valAx>
        <c:axId val="93924352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9392281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Consumo Médio Mensal de AC Frio/Área  - "Antes &amp; Depois"</a:t>
            </a:r>
            <a:endParaRPr lang="pt-PT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Kwh/m2</c:v>
          </c:tx>
          <c:spPr>
            <a:solidFill>
              <a:schemeClr val="accent1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Chillers_3!$C$24:$C$35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Chillers_3!$E$24:$E$35</c:f>
              <c:numCache>
                <c:formatCode>#,##0.00</c:formatCode>
                <c:ptCount val="12"/>
                <c:pt idx="0">
                  <c:v>1.8424118042725937</c:v>
                </c:pt>
                <c:pt idx="1">
                  <c:v>1.5499535266072422</c:v>
                </c:pt>
                <c:pt idx="2">
                  <c:v>1.8095442918202367</c:v>
                </c:pt>
                <c:pt idx="3">
                  <c:v>1.6440075526916769</c:v>
                </c:pt>
                <c:pt idx="4">
                  <c:v>1.7075445415352579</c:v>
                </c:pt>
                <c:pt idx="5">
                  <c:v>2.2418333072001264</c:v>
                </c:pt>
                <c:pt idx="6">
                  <c:v>3.0081155375884703</c:v>
                </c:pt>
                <c:pt idx="7">
                  <c:v>3.0029720479069653</c:v>
                </c:pt>
                <c:pt idx="8">
                  <c:v>2.3263599498934999</c:v>
                </c:pt>
                <c:pt idx="9">
                  <c:v>1.7817920782991177</c:v>
                </c:pt>
                <c:pt idx="10">
                  <c:v>1.6339296870556974</c:v>
                </c:pt>
                <c:pt idx="11">
                  <c:v>1.9435960741834899</c:v>
                </c:pt>
              </c:numCache>
            </c:numRef>
          </c:val>
        </c:ser>
        <c:ser>
          <c:idx val="1"/>
          <c:order val="1"/>
          <c:tx>
            <c:v>Kwh/m2</c:v>
          </c:tx>
          <c:spPr>
            <a:solidFill>
              <a:srgbClr val="C00000"/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Chillers_3!$I$24:$I$35</c:f>
              <c:numCache>
                <c:formatCode>#,##0.00</c:formatCode>
                <c:ptCount val="12"/>
                <c:pt idx="0">
                  <c:v>0.7627253606445713</c:v>
                </c:pt>
                <c:pt idx="1">
                  <c:v>1.3249968499646034</c:v>
                </c:pt>
                <c:pt idx="2">
                  <c:v>1.8286019055519176</c:v>
                </c:pt>
                <c:pt idx="3">
                  <c:v>1.9394651836375898</c:v>
                </c:pt>
                <c:pt idx="4">
                  <c:v>2.950564220309841</c:v>
                </c:pt>
                <c:pt idx="5">
                  <c:v>3.3524726274462817</c:v>
                </c:pt>
                <c:pt idx="6">
                  <c:v>3.5456103313749225</c:v>
                </c:pt>
                <c:pt idx="7">
                  <c:v>3.5749536234937178</c:v>
                </c:pt>
                <c:pt idx="8">
                  <c:v>3.6777176569093224</c:v>
                </c:pt>
                <c:pt idx="9">
                  <c:v>2.589547261437418</c:v>
                </c:pt>
                <c:pt idx="10">
                  <c:v>1.4621844106048105</c:v>
                </c:pt>
                <c:pt idx="11">
                  <c:v>0.78481509501156399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46624"/>
        <c:axId val="93948160"/>
      </c:barChart>
      <c:catAx>
        <c:axId val="93946624"/>
        <c:scaling>
          <c:orientation val="minMax"/>
        </c:scaling>
        <c:delete val="0"/>
        <c:axPos val="b"/>
        <c:majorTickMark val="none"/>
        <c:minorTickMark val="none"/>
        <c:tickLblPos val="nextTo"/>
        <c:crossAx val="93948160"/>
        <c:crosses val="autoZero"/>
        <c:auto val="1"/>
        <c:lblAlgn val="ctr"/>
        <c:lblOffset val="100"/>
        <c:noMultiLvlLbl val="0"/>
      </c:catAx>
      <c:valAx>
        <c:axId val="93948160"/>
        <c:scaling>
          <c:orientation val="minMax"/>
          <c:max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crossAx val="939466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Consumo Anual/Área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Kwh/(m2.ano)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Mod_3!$AH$5:$AH$10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Mod_3!$AI$5:$AI$10</c:f>
              <c:numCache>
                <c:formatCode>#,##0.00</c:formatCode>
                <c:ptCount val="6"/>
                <c:pt idx="0">
                  <c:v>72.619315071545927</c:v>
                </c:pt>
                <c:pt idx="1">
                  <c:v>76.218596826099287</c:v>
                </c:pt>
                <c:pt idx="2">
                  <c:v>77.285045490032871</c:v>
                </c:pt>
                <c:pt idx="3">
                  <c:v>83.12941284259837</c:v>
                </c:pt>
                <c:pt idx="4">
                  <c:v>70.293474480711836</c:v>
                </c:pt>
                <c:pt idx="5">
                  <c:v>82.594744333621634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22144"/>
        <c:axId val="136423680"/>
      </c:barChart>
      <c:catAx>
        <c:axId val="13642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6423680"/>
        <c:crosses val="autoZero"/>
        <c:auto val="1"/>
        <c:lblAlgn val="ctr"/>
        <c:lblOffset val="100"/>
        <c:noMultiLvlLbl val="0"/>
      </c:catAx>
      <c:valAx>
        <c:axId val="13642368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strike="noStrike" baseline="30000"/>
                  <a:t>2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3642214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Evolução anual do consumo mensal/área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Mod_3!$AH$5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Mod_3!$S$5:$S$16</c:f>
              <c:numCache>
                <c:formatCode>#,##0.00</c:formatCode>
                <c:ptCount val="12"/>
                <c:pt idx="0">
                  <c:v>10.087513047428807</c:v>
                </c:pt>
                <c:pt idx="1">
                  <c:v>8.3178402823926909</c:v>
                </c:pt>
                <c:pt idx="2">
                  <c:v>5.6110243414697516</c:v>
                </c:pt>
                <c:pt idx="3">
                  <c:v>3.5292610354570431</c:v>
                </c:pt>
                <c:pt idx="4">
                  <c:v>3.418307793519364</c:v>
                </c:pt>
                <c:pt idx="5">
                  <c:v>4.5114294382987445</c:v>
                </c:pt>
                <c:pt idx="6">
                  <c:v>5.8181094918069816</c:v>
                </c:pt>
                <c:pt idx="7">
                  <c:v>6.2174707106971994</c:v>
                </c:pt>
                <c:pt idx="8">
                  <c:v>5.3695834711250514</c:v>
                </c:pt>
                <c:pt idx="9">
                  <c:v>4.6798022776651624</c:v>
                </c:pt>
                <c:pt idx="10">
                  <c:v>6.1222496589346544</c:v>
                </c:pt>
                <c:pt idx="11">
                  <c:v>8.9367235227504782</c:v>
                </c:pt>
              </c:numCache>
            </c:numRef>
          </c:val>
        </c:ser>
        <c:ser>
          <c:idx val="1"/>
          <c:order val="1"/>
          <c:tx>
            <c:strRef>
              <c:f>Mod_3!$AH$6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Mod_3!$S$17:$S$28</c:f>
              <c:numCache>
                <c:formatCode>#,##0.00</c:formatCode>
                <c:ptCount val="12"/>
                <c:pt idx="0">
                  <c:v>9.3140360317179471</c:v>
                </c:pt>
                <c:pt idx="1">
                  <c:v>7.7070651391589919</c:v>
                </c:pt>
                <c:pt idx="2">
                  <c:v>6.5649483976040548</c:v>
                </c:pt>
                <c:pt idx="3">
                  <c:v>4.479556059896229</c:v>
                </c:pt>
                <c:pt idx="4">
                  <c:v>4.7271766567079707</c:v>
                </c:pt>
                <c:pt idx="5">
                  <c:v>4.9754825825054914</c:v>
                </c:pt>
                <c:pt idx="6">
                  <c:v>5.9229226492531861</c:v>
                </c:pt>
                <c:pt idx="7">
                  <c:v>6.0271677055494655</c:v>
                </c:pt>
                <c:pt idx="8">
                  <c:v>5.3849386572519613</c:v>
                </c:pt>
                <c:pt idx="9">
                  <c:v>4.6643973811655837</c:v>
                </c:pt>
                <c:pt idx="10">
                  <c:v>6.7304589620463648</c:v>
                </c:pt>
                <c:pt idx="11">
                  <c:v>9.7204466032420189</c:v>
                </c:pt>
              </c:numCache>
            </c:numRef>
          </c:val>
        </c:ser>
        <c:ser>
          <c:idx val="2"/>
          <c:order val="2"/>
          <c:tx>
            <c:strRef>
              <c:f>Mod_3!$AH$7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Mod_3!$S$29:$S$40</c:f>
              <c:numCache>
                <c:formatCode>#,##0.00</c:formatCode>
                <c:ptCount val="12"/>
                <c:pt idx="0">
                  <c:v>10.328442703237853</c:v>
                </c:pt>
                <c:pt idx="1">
                  <c:v>7.6339555433945039</c:v>
                </c:pt>
                <c:pt idx="2">
                  <c:v>6.3195593260388563</c:v>
                </c:pt>
                <c:pt idx="3">
                  <c:v>5.0353501627310848</c:v>
                </c:pt>
                <c:pt idx="4">
                  <c:v>4.8323573269504365</c:v>
                </c:pt>
                <c:pt idx="5">
                  <c:v>5.7056953723388748</c:v>
                </c:pt>
                <c:pt idx="6">
                  <c:v>6.495064526114664</c:v>
                </c:pt>
                <c:pt idx="7">
                  <c:v>6.3205536496904626</c:v>
                </c:pt>
                <c:pt idx="8">
                  <c:v>4.8354925001506484</c:v>
                </c:pt>
                <c:pt idx="9">
                  <c:v>5.4028782720750588</c:v>
                </c:pt>
                <c:pt idx="10">
                  <c:v>5.6197108939123117</c:v>
                </c:pt>
                <c:pt idx="11">
                  <c:v>8.7559852133981231</c:v>
                </c:pt>
              </c:numCache>
            </c:numRef>
          </c:val>
        </c:ser>
        <c:ser>
          <c:idx val="3"/>
          <c:order val="3"/>
          <c:tx>
            <c:strRef>
              <c:f>Mod_3!$AH$8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Mod_3!$S$41:$S$52</c:f>
              <c:numCache>
                <c:formatCode>#,##0.00</c:formatCode>
                <c:ptCount val="12"/>
                <c:pt idx="0">
                  <c:v>9.4753626223785403</c:v>
                </c:pt>
                <c:pt idx="1">
                  <c:v>8.7197914928654114</c:v>
                </c:pt>
                <c:pt idx="2">
                  <c:v>9.3246885543188043</c:v>
                </c:pt>
                <c:pt idx="3">
                  <c:v>5.6753833196908996</c:v>
                </c:pt>
                <c:pt idx="4">
                  <c:v>5.3357718287896221</c:v>
                </c:pt>
                <c:pt idx="5">
                  <c:v>5.5401784298344836</c:v>
                </c:pt>
                <c:pt idx="6">
                  <c:v>6.644092598872076</c:v>
                </c:pt>
                <c:pt idx="7">
                  <c:v>6.9916458274792639</c:v>
                </c:pt>
                <c:pt idx="8">
                  <c:v>5.5661921965152628</c:v>
                </c:pt>
                <c:pt idx="9">
                  <c:v>4.8285938223784557</c:v>
                </c:pt>
                <c:pt idx="10">
                  <c:v>5.5705707315048718</c:v>
                </c:pt>
                <c:pt idx="11">
                  <c:v>9.4571414179706803</c:v>
                </c:pt>
              </c:numCache>
            </c:numRef>
          </c:val>
        </c:ser>
        <c:ser>
          <c:idx val="4"/>
          <c:order val="4"/>
          <c:tx>
            <c:strRef>
              <c:f>Mod_3!$AH$9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Mod_3!$S$53:$S$64</c:f>
              <c:numCache>
                <c:formatCode>#,##0.00</c:formatCode>
                <c:ptCount val="12"/>
                <c:pt idx="0">
                  <c:v>9.2329996148921936</c:v>
                </c:pt>
                <c:pt idx="1">
                  <c:v>7.2215181450376305</c:v>
                </c:pt>
                <c:pt idx="2">
                  <c:v>6.5245947667149728</c:v>
                </c:pt>
                <c:pt idx="3">
                  <c:v>6.3480251091663105</c:v>
                </c:pt>
                <c:pt idx="4">
                  <c:v>4.6876433226011862</c:v>
                </c:pt>
                <c:pt idx="5">
                  <c:v>4.5406734556499426</c:v>
                </c:pt>
                <c:pt idx="6">
                  <c:v>5.6294459626166846</c:v>
                </c:pt>
                <c:pt idx="7">
                  <c:v>5.0876339777349955</c:v>
                </c:pt>
                <c:pt idx="8">
                  <c:v>4.7553909825198959</c:v>
                </c:pt>
                <c:pt idx="9">
                  <c:v>4.3720809179770459</c:v>
                </c:pt>
                <c:pt idx="10">
                  <c:v>5.3368000510374749</c:v>
                </c:pt>
                <c:pt idx="11">
                  <c:v>6.5566681747635025</c:v>
                </c:pt>
              </c:numCache>
            </c:numRef>
          </c:val>
        </c:ser>
        <c:ser>
          <c:idx val="5"/>
          <c:order val="5"/>
          <c:tx>
            <c:strRef>
              <c:f>Mod_3!$AH$10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Mod_3!$C$5:$D$16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Mod_3!$S$65:$S$76</c:f>
              <c:numCache>
                <c:formatCode>#,##0.00</c:formatCode>
                <c:ptCount val="12"/>
                <c:pt idx="0">
                  <c:v>6.9980891669149541</c:v>
                </c:pt>
                <c:pt idx="1">
                  <c:v>9.6102423780805317</c:v>
                </c:pt>
                <c:pt idx="2">
                  <c:v>6.9616147538189912</c:v>
                </c:pt>
                <c:pt idx="3">
                  <c:v>5.729928736509236</c:v>
                </c:pt>
                <c:pt idx="4">
                  <c:v>5.9954823714343464</c:v>
                </c:pt>
                <c:pt idx="5">
                  <c:v>6.2805000565740201</c:v>
                </c:pt>
                <c:pt idx="6">
                  <c:v>6.4891976095974666</c:v>
                </c:pt>
                <c:pt idx="7">
                  <c:v>6.7288147675378047</c:v>
                </c:pt>
                <c:pt idx="8">
                  <c:v>6.7782187754852883</c:v>
                </c:pt>
                <c:pt idx="9">
                  <c:v>6.0399875273939712</c:v>
                </c:pt>
                <c:pt idx="10">
                  <c:v>7.8375324693109274</c:v>
                </c:pt>
                <c:pt idx="11">
                  <c:v>7.1451357209640918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30"/>
        <c:axId val="143119872"/>
        <c:axId val="143121408"/>
      </c:barChart>
      <c:catAx>
        <c:axId val="14311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121408"/>
        <c:crosses val="autoZero"/>
        <c:auto val="1"/>
        <c:lblAlgn val="ctr"/>
        <c:lblOffset val="100"/>
        <c:noMultiLvlLbl val="0"/>
      </c:catAx>
      <c:valAx>
        <c:axId val="143121408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43119872"/>
        <c:crosses val="autoZero"/>
        <c:crossBetween val="between"/>
        <c:majorUnit val="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janeiro - março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1"/>
              <c:layout>
                <c:manualLayout>
                  <c:x val="0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Mod_3!$BJ$24:$BJ$29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Mod_3!$BL$24:$BL$29</c:f>
              <c:numCache>
                <c:formatCode>#,##0.00</c:formatCode>
                <c:ptCount val="6"/>
                <c:pt idx="0">
                  <c:v>8.005459223763749</c:v>
                </c:pt>
                <c:pt idx="1">
                  <c:v>7.8620165228269983</c:v>
                </c:pt>
                <c:pt idx="2">
                  <c:v>8.0939858575570707</c:v>
                </c:pt>
                <c:pt idx="3">
                  <c:v>9.1732808898542526</c:v>
                </c:pt>
                <c:pt idx="4">
                  <c:v>7.6597041755482662</c:v>
                </c:pt>
                <c:pt idx="5">
                  <c:v>7.8566487662714932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2192"/>
        <c:axId val="10713728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Mod_3!$BK$24:$BK$29</c:f>
              <c:numCache>
                <c:formatCode>#,##0.00</c:formatCode>
                <c:ptCount val="6"/>
                <c:pt idx="0">
                  <c:v>804166.53333333321</c:v>
                </c:pt>
                <c:pt idx="1">
                  <c:v>882111.19999999984</c:v>
                </c:pt>
                <c:pt idx="2">
                  <c:v>902189.56999999983</c:v>
                </c:pt>
                <c:pt idx="3">
                  <c:v>856920.78333333321</c:v>
                </c:pt>
                <c:pt idx="4">
                  <c:v>831958.6666666664</c:v>
                </c:pt>
                <c:pt idx="5">
                  <c:v>862687.73333333328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1920"/>
        <c:axId val="10720000"/>
      </c:lineChart>
      <c:catAx>
        <c:axId val="1071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13728"/>
        <c:crosses val="autoZero"/>
        <c:auto val="1"/>
        <c:lblAlgn val="ctr"/>
        <c:lblOffset val="100"/>
        <c:noMultiLvlLbl val="0"/>
      </c:catAx>
      <c:valAx>
        <c:axId val="10713728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12192"/>
        <c:crosses val="autoZero"/>
        <c:crossBetween val="between"/>
        <c:majorUnit val="2"/>
      </c:valAx>
      <c:valAx>
        <c:axId val="10720000"/>
        <c:scaling>
          <c:orientation val="minMax"/>
          <c:max val="920000"/>
          <c:min val="72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21920"/>
        <c:crosses val="max"/>
        <c:crossBetween val="between"/>
        <c:majorUnit val="40000"/>
      </c:valAx>
      <c:catAx>
        <c:axId val="10721920"/>
        <c:scaling>
          <c:orientation val="minMax"/>
        </c:scaling>
        <c:delete val="1"/>
        <c:axPos val="b"/>
        <c:majorTickMark val="out"/>
        <c:minorTickMark val="none"/>
        <c:tickLblPos val="nextTo"/>
        <c:crossAx val="1072000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abril - junho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Mod_3!$BJ$39:$BJ$44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Mod_3!$BL$39:$BL$44</c:f>
              <c:numCache>
                <c:formatCode>#,##0.00</c:formatCode>
                <c:ptCount val="6"/>
                <c:pt idx="0">
                  <c:v>3.8196660890917173</c:v>
                </c:pt>
                <c:pt idx="1">
                  <c:v>4.7274050997032306</c:v>
                </c:pt>
                <c:pt idx="2">
                  <c:v>5.191134287340132</c:v>
                </c:pt>
                <c:pt idx="3">
                  <c:v>5.5171111927716687</c:v>
                </c:pt>
                <c:pt idx="4">
                  <c:v>5.1921139624724804</c:v>
                </c:pt>
                <c:pt idx="5">
                  <c:v>6.0019703881725341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0480"/>
        <c:axId val="10742016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Mod_3!$BK$39:$BK$44</c:f>
              <c:numCache>
                <c:formatCode>#,##0.00</c:formatCode>
                <c:ptCount val="6"/>
                <c:pt idx="0">
                  <c:v>782088.6333333333</c:v>
                </c:pt>
                <c:pt idx="1">
                  <c:v>884818.23333333328</c:v>
                </c:pt>
                <c:pt idx="2">
                  <c:v>898652.03333333321</c:v>
                </c:pt>
                <c:pt idx="3">
                  <c:v>877893.23333333328</c:v>
                </c:pt>
                <c:pt idx="4">
                  <c:v>864964.36666666658</c:v>
                </c:pt>
                <c:pt idx="5">
                  <c:v>870386.6333333333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0208"/>
        <c:axId val="10748288"/>
      </c:lineChart>
      <c:catAx>
        <c:axId val="107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42016"/>
        <c:crosses val="autoZero"/>
        <c:auto val="1"/>
        <c:lblAlgn val="ctr"/>
        <c:lblOffset val="100"/>
        <c:noMultiLvlLbl val="0"/>
      </c:catAx>
      <c:valAx>
        <c:axId val="10742016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40480"/>
        <c:crosses val="autoZero"/>
        <c:crossBetween val="between"/>
        <c:majorUnit val="2"/>
      </c:valAx>
      <c:valAx>
        <c:axId val="10748288"/>
        <c:scaling>
          <c:orientation val="minMax"/>
          <c:max val="920000"/>
          <c:min val="72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50208"/>
        <c:crosses val="max"/>
        <c:crossBetween val="between"/>
        <c:majorUnit val="40000"/>
      </c:valAx>
      <c:catAx>
        <c:axId val="10750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074828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julho - setembro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5"/>
              <c:layout>
                <c:manualLayout>
                  <c:x val="0"/>
                  <c:y val="-6.8965879265091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Mod_3!$BJ$56:$BJ$61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Mod_3!$BL$56:$BL$61</c:f>
              <c:numCache>
                <c:formatCode>#,##0.00</c:formatCode>
                <c:ptCount val="6"/>
                <c:pt idx="0">
                  <c:v>5.8017212245430771</c:v>
                </c:pt>
                <c:pt idx="1">
                  <c:v>5.778343004018204</c:v>
                </c:pt>
                <c:pt idx="2">
                  <c:v>5.8837035586519262</c:v>
                </c:pt>
                <c:pt idx="3">
                  <c:v>6.4006435409555342</c:v>
                </c:pt>
                <c:pt idx="4">
                  <c:v>5.157490307623859</c:v>
                </c:pt>
                <c:pt idx="5">
                  <c:v>6.6654103842068535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68768"/>
        <c:axId val="10770304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Mod_3!$BK$56:$BK$61</c:f>
              <c:numCache>
                <c:formatCode>#,##0.00</c:formatCode>
                <c:ptCount val="6"/>
                <c:pt idx="0">
                  <c:v>911165.16666666651</c:v>
                </c:pt>
                <c:pt idx="1">
                  <c:v>917301.99999999988</c:v>
                </c:pt>
                <c:pt idx="2">
                  <c:v>885685.66666666651</c:v>
                </c:pt>
                <c:pt idx="3">
                  <c:v>896123.66666666651</c:v>
                </c:pt>
                <c:pt idx="4">
                  <c:v>897898.89999999991</c:v>
                </c:pt>
                <c:pt idx="5">
                  <c:v>856139.46666666644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2592"/>
        <c:axId val="10780672"/>
      </c:lineChart>
      <c:catAx>
        <c:axId val="1076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70304"/>
        <c:crosses val="autoZero"/>
        <c:auto val="1"/>
        <c:lblAlgn val="ctr"/>
        <c:lblOffset val="100"/>
        <c:noMultiLvlLbl val="0"/>
      </c:catAx>
      <c:valAx>
        <c:axId val="10770304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68768"/>
        <c:crosses val="autoZero"/>
        <c:crossBetween val="between"/>
        <c:majorUnit val="2"/>
      </c:valAx>
      <c:valAx>
        <c:axId val="10780672"/>
        <c:scaling>
          <c:orientation val="minMax"/>
          <c:max val="920000"/>
          <c:min val="72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82592"/>
        <c:crosses val="max"/>
        <c:crossBetween val="between"/>
        <c:majorUnit val="40000"/>
      </c:valAx>
      <c:catAx>
        <c:axId val="10782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07806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PT" sz="1200"/>
              <a:t>Análise trimestral outubro - dezembro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Mod_3!$BJ$72:$BJ$77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Mod_3!$BL$72:$BL$77</c:f>
              <c:numCache>
                <c:formatCode>#,##0.00</c:formatCode>
                <c:ptCount val="6"/>
                <c:pt idx="0">
                  <c:v>6.5795918197834311</c:v>
                </c:pt>
                <c:pt idx="1">
                  <c:v>7.0384343154846549</c:v>
                </c:pt>
                <c:pt idx="2">
                  <c:v>6.5928581264618309</c:v>
                </c:pt>
                <c:pt idx="3">
                  <c:v>6.6187686572846687</c:v>
                </c:pt>
                <c:pt idx="4">
                  <c:v>5.4218497145926747</c:v>
                </c:pt>
                <c:pt idx="5">
                  <c:v>7.0075519058896631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2960"/>
        <c:axId val="10794496"/>
      </c:barChart>
      <c:lineChart>
        <c:grouping val="standard"/>
        <c:varyColors val="0"/>
        <c:ser>
          <c:idx val="1"/>
          <c:order val="1"/>
          <c:spPr>
            <a:ln w="34925"/>
          </c:spPr>
          <c:val>
            <c:numRef>
              <c:f>Mod_3!$BK$72:$BK$77</c:f>
              <c:numCache>
                <c:formatCode>#,##0.00</c:formatCode>
                <c:ptCount val="6"/>
                <c:pt idx="0">
                  <c:v>882389.99999999988</c:v>
                </c:pt>
                <c:pt idx="1">
                  <c:v>897833.48333333305</c:v>
                </c:pt>
                <c:pt idx="2">
                  <c:v>896371.53333333321</c:v>
                </c:pt>
                <c:pt idx="3">
                  <c:v>872111.03333333321</c:v>
                </c:pt>
                <c:pt idx="4">
                  <c:v>866556.96666666644</c:v>
                </c:pt>
                <c:pt idx="5">
                  <c:v>876393.20999999985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8592"/>
        <c:axId val="10796416"/>
      </c:lineChart>
      <c:catAx>
        <c:axId val="107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94496"/>
        <c:crosses val="autoZero"/>
        <c:auto val="1"/>
        <c:lblAlgn val="ctr"/>
        <c:lblOffset val="100"/>
        <c:noMultiLvlLbl val="0"/>
      </c:catAx>
      <c:valAx>
        <c:axId val="10794496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kWh/m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92960"/>
        <c:crosses val="autoZero"/>
        <c:crossBetween val="between"/>
        <c:majorUnit val="2"/>
      </c:valAx>
      <c:valAx>
        <c:axId val="10796416"/>
        <c:scaling>
          <c:orientation val="minMax"/>
          <c:max val="920000"/>
          <c:min val="72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Evento.m</a:t>
                </a:r>
                <a:r>
                  <a:rPr lang="pt-PT" baseline="30000"/>
                  <a:t>2</a:t>
                </a:r>
              </a:p>
            </c:rich>
          </c:tx>
          <c:layout/>
          <c:overlay val="0"/>
        </c:title>
        <c:numFmt formatCode="#,##0.00" sourceLinked="1"/>
        <c:majorTickMark val="out"/>
        <c:minorTickMark val="none"/>
        <c:tickLblPos val="nextTo"/>
        <c:crossAx val="10798592"/>
        <c:crosses val="max"/>
        <c:crossBetween val="between"/>
        <c:majorUnit val="40000"/>
      </c:valAx>
      <c:catAx>
        <c:axId val="10798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079641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Tendência de consumos - Módulo 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'[6]Globais 07-12 MOD''s'!$J$202</c:f>
              <c:strCache>
                <c:ptCount val="1"/>
                <c:pt idx="0">
                  <c:v>Ilum.&amp;Tom.</c:v>
                </c:pt>
              </c:strCache>
            </c:strRef>
          </c:tx>
          <c:spPr>
            <a:ln>
              <a:solidFill>
                <a:srgbClr val="92D050"/>
              </a:solidFill>
              <a:prstDash val="sys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MOD''s'!$D$6,'[6]Globais 07-12 MOD''s'!$D$44,'[6]Globais 07-12 MOD''s'!$D$82,'[6]Globais 07-12 MOD''s'!$D$120,'[6]Globais 07-12 MOD''s'!$D$158,'[6]Globais 07-12 MOD''s'!$D$196)</c:f>
              <c:numCache>
                <c:formatCode>General</c:formatCode>
                <c:ptCount val="6"/>
                <c:pt idx="0">
                  <c:v>1555189.2676912569</c:v>
                </c:pt>
                <c:pt idx="1">
                  <c:v>1577329.3120445583</c:v>
                </c:pt>
                <c:pt idx="2">
                  <c:v>1577221.719860991</c:v>
                </c:pt>
                <c:pt idx="3">
                  <c:v>1604353.3748172345</c:v>
                </c:pt>
                <c:pt idx="4">
                  <c:v>1582216.1164546437</c:v>
                </c:pt>
                <c:pt idx="5">
                  <c:v>1625851.7624835027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'[6]Globais 07-12 MOD''s'!$J$203</c:f>
              <c:strCache>
                <c:ptCount val="1"/>
                <c:pt idx="0">
                  <c:v>AC-Frio</c:v>
                </c:pt>
              </c:strCache>
            </c:strRef>
          </c:tx>
          <c:spPr>
            <a:ln>
              <a:solidFill>
                <a:srgbClr val="92D050"/>
              </a:solidFill>
              <a:prstDash val="sysDash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MOD''s'!$D$7,'[6]Globais 07-12 MOD''s'!$D$45,'[6]Globais 07-12 MOD''s'!$D$83,'[6]Globais 07-12 MOD''s'!$D$121,'[6]Globais 07-12 MOD''s'!$D$159,'[6]Globais 07-12 MOD''s'!$D$197)</c:f>
              <c:numCache>
                <c:formatCode>General</c:formatCode>
                <c:ptCount val="6"/>
                <c:pt idx="0">
                  <c:v>906879.7084842911</c:v>
                </c:pt>
                <c:pt idx="1">
                  <c:v>1093133.4209963845</c:v>
                </c:pt>
                <c:pt idx="2">
                  <c:v>1161566.1541932626</c:v>
                </c:pt>
                <c:pt idx="3">
                  <c:v>1236096.10619939</c:v>
                </c:pt>
                <c:pt idx="4">
                  <c:v>827077.66930752934</c:v>
                </c:pt>
                <c:pt idx="5">
                  <c:v>1237317.534579935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'[6]Globais 07-12 MOD''s'!$J$204</c:f>
              <c:strCache>
                <c:ptCount val="1"/>
                <c:pt idx="0">
                  <c:v>AC-Quente</c:v>
                </c:pt>
              </c:strCache>
            </c:strRef>
          </c:tx>
          <c:spPr>
            <a:ln>
              <a:solidFill>
                <a:srgbClr val="92D050"/>
              </a:solidFill>
              <a:prstDash val="dashDot"/>
            </a:ln>
          </c:spPr>
          <c:marker>
            <c:symbol val="none"/>
          </c:marker>
          <c:cat>
            <c:numRef>
              <c:f>'[6]Globais 07-12 MOD''s'!$A$331:$A$336</c:f>
              <c:numCache>
                <c:formatCode>General</c:formatCod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</c:numCache>
            </c:numRef>
          </c:cat>
          <c:val>
            <c:numRef>
              <c:f>('[6]Globais 07-12 MOD''s'!$D$8,'[6]Globais 07-12 MOD''s'!$D$46,'[6]Globais 07-12 MOD''s'!$D$84,'[6]Globais 07-12 MOD''s'!$D$122,'[6]Globais 07-12 MOD''s'!$D$160,'[6]Globais 07-12 MOD''s'!$D$198)</c:f>
              <c:numCache>
                <c:formatCode>General</c:formatCode>
                <c:ptCount val="6"/>
                <c:pt idx="0">
                  <c:v>689021.08147746651</c:v>
                </c:pt>
                <c:pt idx="1">
                  <c:v>636806.9985774745</c:v>
                </c:pt>
                <c:pt idx="2">
                  <c:v>614757.09134470462</c:v>
                </c:pt>
                <c:pt idx="3">
                  <c:v>766693.68810812058</c:v>
                </c:pt>
                <c:pt idx="4">
                  <c:v>640873.62955742748</c:v>
                </c:pt>
                <c:pt idx="5">
                  <c:v>720773.58958663931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2512"/>
        <c:axId val="10838400"/>
      </c:lineChart>
      <c:catAx>
        <c:axId val="1083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838400"/>
        <c:crosses val="autoZero"/>
        <c:auto val="1"/>
        <c:lblAlgn val="ctr"/>
        <c:lblOffset val="100"/>
        <c:noMultiLvlLbl val="0"/>
      </c:catAx>
      <c:valAx>
        <c:axId val="10838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32512"/>
        <c:crosses val="autoZero"/>
        <c:crossBetween val="between"/>
        <c:majorUnit val="5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36</xdr:row>
      <xdr:rowOff>33336</xdr:rowOff>
    </xdr:from>
    <xdr:to>
      <xdr:col>30</xdr:col>
      <xdr:colOff>400049</xdr:colOff>
      <xdr:row>52</xdr:row>
      <xdr:rowOff>115251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19049</xdr:colOff>
      <xdr:row>17</xdr:row>
      <xdr:rowOff>151447</xdr:rowOff>
    </xdr:from>
    <xdr:to>
      <xdr:col>30</xdr:col>
      <xdr:colOff>390524</xdr:colOff>
      <xdr:row>34</xdr:row>
      <xdr:rowOff>52387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28575</xdr:colOff>
      <xdr:row>11</xdr:row>
      <xdr:rowOff>19050</xdr:rowOff>
    </xdr:from>
    <xdr:to>
      <xdr:col>41</xdr:col>
      <xdr:colOff>152400</xdr:colOff>
      <xdr:row>27</xdr:row>
      <xdr:rowOff>110490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28575</xdr:colOff>
      <xdr:row>4</xdr:row>
      <xdr:rowOff>28575</xdr:rowOff>
    </xdr:from>
    <xdr:to>
      <xdr:col>68</xdr:col>
      <xdr:colOff>323851</xdr:colOff>
      <xdr:row>20</xdr:row>
      <xdr:rowOff>120015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50</xdr:col>
      <xdr:colOff>28575</xdr:colOff>
      <xdr:row>21</xdr:row>
      <xdr:rowOff>171450</xdr:rowOff>
    </xdr:from>
    <xdr:to>
      <xdr:col>60</xdr:col>
      <xdr:colOff>200024</xdr:colOff>
      <xdr:row>36</xdr:row>
      <xdr:rowOff>47625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28575</xdr:colOff>
      <xdr:row>37</xdr:row>
      <xdr:rowOff>57150</xdr:rowOff>
    </xdr:from>
    <xdr:to>
      <xdr:col>60</xdr:col>
      <xdr:colOff>200024</xdr:colOff>
      <xdr:row>51</xdr:row>
      <xdr:rowOff>142875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28575</xdr:colOff>
      <xdr:row>54</xdr:row>
      <xdr:rowOff>28575</xdr:rowOff>
    </xdr:from>
    <xdr:to>
      <xdr:col>60</xdr:col>
      <xdr:colOff>200024</xdr:colOff>
      <xdr:row>68</xdr:row>
      <xdr:rowOff>114300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28575</xdr:colOff>
      <xdr:row>70</xdr:row>
      <xdr:rowOff>28575</xdr:rowOff>
    </xdr:from>
    <xdr:to>
      <xdr:col>60</xdr:col>
      <xdr:colOff>200024</xdr:colOff>
      <xdr:row>84</xdr:row>
      <xdr:rowOff>114300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38100</xdr:colOff>
      <xdr:row>80</xdr:row>
      <xdr:rowOff>38100</xdr:rowOff>
    </xdr:from>
    <xdr:to>
      <xdr:col>13</xdr:col>
      <xdr:colOff>247650</xdr:colOff>
      <xdr:row>94</xdr:row>
      <xdr:rowOff>114300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400049</xdr:colOff>
      <xdr:row>3</xdr:row>
      <xdr:rowOff>71436</xdr:rowOff>
    </xdr:from>
    <xdr:to>
      <xdr:col>31</xdr:col>
      <xdr:colOff>161924</xdr:colOff>
      <xdr:row>19</xdr:row>
      <xdr:rowOff>104774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80961</xdr:rowOff>
    </xdr:from>
    <xdr:to>
      <xdr:col>31</xdr:col>
      <xdr:colOff>171450</xdr:colOff>
      <xdr:row>37</xdr:row>
      <xdr:rowOff>123824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390525</xdr:colOff>
      <xdr:row>39</xdr:row>
      <xdr:rowOff>85724</xdr:rowOff>
    </xdr:from>
    <xdr:to>
      <xdr:col>31</xdr:col>
      <xdr:colOff>142875</xdr:colOff>
      <xdr:row>55</xdr:row>
      <xdr:rowOff>190499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3</xdr:row>
      <xdr:rowOff>90487</xdr:rowOff>
    </xdr:from>
    <xdr:to>
      <xdr:col>20</xdr:col>
      <xdr:colOff>190499</xdr:colOff>
      <xdr:row>19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419099</xdr:colOff>
      <xdr:row>21</xdr:row>
      <xdr:rowOff>80962</xdr:rowOff>
    </xdr:from>
    <xdr:to>
      <xdr:col>20</xdr:col>
      <xdr:colOff>200024</xdr:colOff>
      <xdr:row>37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39</xdr:row>
      <xdr:rowOff>66675</xdr:rowOff>
    </xdr:from>
    <xdr:to>
      <xdr:col>20</xdr:col>
      <xdr:colOff>190500</xdr:colOff>
      <xdr:row>55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400049</xdr:colOff>
      <xdr:row>3</xdr:row>
      <xdr:rowOff>71436</xdr:rowOff>
    </xdr:from>
    <xdr:to>
      <xdr:col>31</xdr:col>
      <xdr:colOff>161924</xdr:colOff>
      <xdr:row>19</xdr:row>
      <xdr:rowOff>104774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400050</xdr:colOff>
      <xdr:row>21</xdr:row>
      <xdr:rowOff>80961</xdr:rowOff>
    </xdr:from>
    <xdr:to>
      <xdr:col>31</xdr:col>
      <xdr:colOff>171450</xdr:colOff>
      <xdr:row>37</xdr:row>
      <xdr:rowOff>123824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390525</xdr:colOff>
      <xdr:row>39</xdr:row>
      <xdr:rowOff>85724</xdr:rowOff>
    </xdr:from>
    <xdr:to>
      <xdr:col>31</xdr:col>
      <xdr:colOff>142875</xdr:colOff>
      <xdr:row>55</xdr:row>
      <xdr:rowOff>190499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7_2008_consumos_por_modulos_nuno.xl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io_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nho_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Julho_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gosto_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Setembro_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Outubro_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Novembro_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Dezembro_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aneiro_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Fevereiro_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9_2010_consumos_por_modulos_nun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r&#231;o_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bril_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Maio_20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nho_20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Julho_20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Agosto_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Setembro_20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Outubro_20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Novembro_20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8/Ocup_Dezembro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1_2012_consumos_por_modulos_nun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aneiro_200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Fevereiro_200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r&#231;o_20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bril_2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Maio_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nho_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Julho_200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Agosto_200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Setembro_2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Outubro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8_2009_consumos_por_modulos_nuno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Novembro_2009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9/Ocup_Dezembro_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aneiro_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Fevereiro_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r&#231;o_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bril_20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Maio_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nho_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Julho_201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Agosto_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0_2011_consumos_por_modulos_nuno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Setembro_201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Outubro_201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Novembro_20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0/Ocup_Dezembro_201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aneiro_201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Fevereiro_201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r&#231;o_201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bril_201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Maio_20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nho_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fevereiro/Gr&#225;ficos%20Consumos%20(02.03.14)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Julho_20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Agosto_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Setembro_201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Outubro_201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Novembro_20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1/Ocup_Dezembro_20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aneiro_20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Fevereiro_201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r&#231;o_201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bril_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Fevereiro_2007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Maio_20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nho_201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Julho_201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Agosto_201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Setembro_201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Outubro_201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Novembro_201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Dezembro_20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Mar&#231;o_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07/Ocup_Abril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</sheetNames>
    <sheetDataSet>
      <sheetData sheetId="0">
        <row r="6">
          <cell r="B6">
            <v>123023.90638554505</v>
          </cell>
          <cell r="C6">
            <v>105803.47867990425</v>
          </cell>
          <cell r="D6">
            <v>121642.77483039761</v>
          </cell>
          <cell r="E6">
            <v>113520.48925761247</v>
          </cell>
          <cell r="F6">
            <v>116824.40921799744</v>
          </cell>
          <cell r="G6">
            <v>107549.18069356021</v>
          </cell>
          <cell r="H6">
            <v>110791.54941777157</v>
          </cell>
          <cell r="I6">
            <v>103463.65122517012</v>
          </cell>
          <cell r="J6">
            <v>116583.19367769077</v>
          </cell>
          <cell r="K6">
            <v>125332.34140434962</v>
          </cell>
          <cell r="L6">
            <v>120234.26267127556</v>
          </cell>
          <cell r="M6">
            <v>122674.89442877812</v>
          </cell>
        </row>
        <row r="7">
          <cell r="B7">
            <v>127222.89832659526</v>
          </cell>
          <cell r="C7">
            <v>117675.19048568539</v>
          </cell>
          <cell r="D7">
            <v>123286.89933177436</v>
          </cell>
          <cell r="E7">
            <v>120535.92820511451</v>
          </cell>
          <cell r="F7">
            <v>119032.74928106251</v>
          </cell>
          <cell r="G7">
            <v>118761.55746091536</v>
          </cell>
          <cell r="H7">
            <v>119380.4411876185</v>
          </cell>
          <cell r="I7">
            <v>105297.19488331745</v>
          </cell>
          <cell r="J7">
            <v>114891.09680831496</v>
          </cell>
          <cell r="K7">
            <v>123261.4185862935</v>
          </cell>
          <cell r="L7">
            <v>118338.15607373876</v>
          </cell>
          <cell r="M7">
            <v>123674.05484478688</v>
          </cell>
        </row>
        <row r="11">
          <cell r="B11">
            <v>74612.378619920055</v>
          </cell>
          <cell r="C11">
            <v>62070.944341899114</v>
          </cell>
          <cell r="D11">
            <v>76254.627093261108</v>
          </cell>
          <cell r="E11">
            <v>77374.024878975586</v>
          </cell>
          <cell r="F11">
            <v>80125.293967187812</v>
          </cell>
          <cell r="G11">
            <v>77597.722392733151</v>
          </cell>
          <cell r="H11">
            <v>74244.399297931712</v>
          </cell>
          <cell r="I11">
            <v>50247.200595004797</v>
          </cell>
          <cell r="J11">
            <v>70424.543801156789</v>
          </cell>
          <cell r="K11">
            <v>72477.613337040777</v>
          </cell>
          <cell r="L11">
            <v>61001.880284800412</v>
          </cell>
          <cell r="M11">
            <v>62085.697603131717</v>
          </cell>
        </row>
        <row r="12">
          <cell r="B12">
            <v>59574.634085971629</v>
          </cell>
          <cell r="C12">
            <v>59592.909750775529</v>
          </cell>
          <cell r="D12">
            <v>56568.12592962441</v>
          </cell>
          <cell r="E12">
            <v>73300.461230465851</v>
          </cell>
          <cell r="F12">
            <v>69089.611464463684</v>
          </cell>
          <cell r="G12">
            <v>52319.342181076841</v>
          </cell>
          <cell r="H12">
            <v>57073.054699874207</v>
          </cell>
          <cell r="I12">
            <v>47342.36799688304</v>
          </cell>
          <cell r="J12">
            <v>78069.11747445201</v>
          </cell>
          <cell r="K12">
            <v>58548.781226187893</v>
          </cell>
          <cell r="L12">
            <v>53819.636622859725</v>
          </cell>
          <cell r="M12">
            <v>63426.096466485978</v>
          </cell>
        </row>
        <row r="16">
          <cell r="B16">
            <v>147825.55111411825</v>
          </cell>
          <cell r="C16">
            <v>115452.8698370107</v>
          </cell>
          <cell r="D16">
            <v>111903.14194991237</v>
          </cell>
          <cell r="E16">
            <v>95970.036511786719</v>
          </cell>
          <cell r="F16">
            <v>106536.42834000879</v>
          </cell>
          <cell r="G16">
            <v>125524.40926980792</v>
          </cell>
          <cell r="H16">
            <v>137624.54105597417</v>
          </cell>
          <cell r="I16">
            <v>150417.92678118157</v>
          </cell>
          <cell r="J16">
            <v>128665.57848618401</v>
          </cell>
          <cell r="K16">
            <v>127850.10291017215</v>
          </cell>
          <cell r="L16">
            <v>144501.4727832666</v>
          </cell>
          <cell r="M16">
            <v>162917.20865183364</v>
          </cell>
        </row>
        <row r="21">
          <cell r="B21">
            <v>94317.300621005721</v>
          </cell>
          <cell r="C21">
            <v>73482.562446293887</v>
          </cell>
          <cell r="D21">
            <v>94006.131547536352</v>
          </cell>
          <cell r="E21">
            <v>93333.091446967504</v>
          </cell>
          <cell r="F21">
            <v>100332.92347234921</v>
          </cell>
          <cell r="G21">
            <v>105282.03100649033</v>
          </cell>
          <cell r="H21">
            <v>100515.09688748872</v>
          </cell>
          <cell r="I21">
            <v>86619.330022286886</v>
          </cell>
          <cell r="J21">
            <v>89463.831886962987</v>
          </cell>
          <cell r="K21">
            <v>90847.199802981209</v>
          </cell>
          <cell r="L21">
            <v>65196.811537633665</v>
          </cell>
          <cell r="M21">
            <v>58817.427778910744</v>
          </cell>
        </row>
        <row r="22">
          <cell r="B22">
            <v>58587.459000702373</v>
          </cell>
          <cell r="C22">
            <v>55446.657933881652</v>
          </cell>
          <cell r="D22">
            <v>64216.748762515854</v>
          </cell>
          <cell r="E22">
            <v>58568.759790757074</v>
          </cell>
          <cell r="F22">
            <v>59806.546089831725</v>
          </cell>
          <cell r="G22">
            <v>82401.24196380745</v>
          </cell>
          <cell r="H22">
            <v>91654.549073220725</v>
          </cell>
          <cell r="I22">
            <v>81539.140201469214</v>
          </cell>
          <cell r="J22">
            <v>97235.627417584241</v>
          </cell>
          <cell r="K22">
            <v>61284.328760949531</v>
          </cell>
          <cell r="L22">
            <v>54674.780801369459</v>
          </cell>
          <cell r="M22">
            <v>46244.855580621806</v>
          </cell>
        </row>
        <row r="23">
          <cell r="B23">
            <v>121069.48375741333</v>
          </cell>
          <cell r="C23">
            <v>77612.993710124487</v>
          </cell>
          <cell r="D23">
            <v>51826.352756285982</v>
          </cell>
          <cell r="E23">
            <v>18095.780205267787</v>
          </cell>
          <cell r="F23">
            <v>0</v>
          </cell>
          <cell r="G23">
            <v>0</v>
          </cell>
          <cell r="H23">
            <v>-0.32334187751985155</v>
          </cell>
          <cell r="I23">
            <v>0</v>
          </cell>
          <cell r="J23">
            <v>0</v>
          </cell>
          <cell r="K23">
            <v>0</v>
          </cell>
          <cell r="L23">
            <v>29584.781628168872</v>
          </cell>
          <cell r="M23">
            <v>67339.037708072952</v>
          </cell>
        </row>
        <row r="24">
          <cell r="B24">
            <v>68469.180849060242</v>
          </cell>
          <cell r="C24">
            <v>49124.850772400154</v>
          </cell>
          <cell r="D24">
            <v>47716.131265654083</v>
          </cell>
          <cell r="E24">
            <v>6882.6846395844332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43199.017041867977</v>
          </cell>
          <cell r="M24">
            <v>52971.2784111566</v>
          </cell>
        </row>
        <row r="28">
          <cell r="B28">
            <v>42740.284891600473</v>
          </cell>
          <cell r="C28">
            <v>43199.442846197177</v>
          </cell>
          <cell r="D28">
            <v>55474.243932686113</v>
          </cell>
          <cell r="E28">
            <v>60030.104934027717</v>
          </cell>
          <cell r="F28">
            <v>66192.936459748133</v>
          </cell>
          <cell r="G28">
            <v>72113.458908221131</v>
          </cell>
          <cell r="H28">
            <v>80862.098753881903</v>
          </cell>
          <cell r="I28">
            <v>42122.560202870998</v>
          </cell>
          <cell r="J28">
            <v>69240.753963237308</v>
          </cell>
          <cell r="K28">
            <v>65804.801699017698</v>
          </cell>
          <cell r="L28">
            <v>52173.648057173465</v>
          </cell>
          <cell r="M28">
            <v>48115.817745486362</v>
          </cell>
        </row>
        <row r="30">
          <cell r="B30">
            <v>70193.243036965825</v>
          </cell>
          <cell r="C30">
            <v>68605.983160592092</v>
          </cell>
          <cell r="D30">
            <v>45648.066298143669</v>
          </cell>
          <cell r="E30">
            <v>14912.128869917491</v>
          </cell>
          <cell r="F30">
            <v>0</v>
          </cell>
          <cell r="G30">
            <v>0</v>
          </cell>
          <cell r="H30">
            <v>0.2422477154104854</v>
          </cell>
          <cell r="I30">
            <v>0</v>
          </cell>
          <cell r="J30">
            <v>0</v>
          </cell>
          <cell r="K30">
            <v>0</v>
          </cell>
          <cell r="L30">
            <v>18774.100705996192</v>
          </cell>
          <cell r="M30">
            <v>48817.311742493141</v>
          </cell>
        </row>
        <row r="35">
          <cell r="B35">
            <v>72680.782218930544</v>
          </cell>
          <cell r="C35">
            <v>66859.89554325903</v>
          </cell>
          <cell r="D35">
            <v>54634.771683628758</v>
          </cell>
          <cell r="E35">
            <v>39084.584638936954</v>
          </cell>
          <cell r="F35">
            <v>41790.44160560413</v>
          </cell>
          <cell r="G35">
            <v>70235.085773907442</v>
          </cell>
          <cell r="H35">
            <v>114834.3729481567</v>
          </cell>
          <cell r="I35">
            <v>119369.94055032027</v>
          </cell>
          <cell r="J35">
            <v>104330.85053452717</v>
          </cell>
          <cell r="K35">
            <v>75215.409542046851</v>
          </cell>
          <cell r="L35">
            <v>73249.546373437828</v>
          </cell>
          <cell r="M35">
            <v>74594.027071535369</v>
          </cell>
        </row>
        <row r="37">
          <cell r="B37">
            <v>217210.02406967728</v>
          </cell>
          <cell r="C37">
            <v>178614.12836928578</v>
          </cell>
          <cell r="D37">
            <v>76935.093489080187</v>
          </cell>
          <cell r="E37">
            <v>18086.720773724825</v>
          </cell>
          <cell r="F37">
            <v>0</v>
          </cell>
          <cell r="G37">
            <v>0</v>
          </cell>
          <cell r="H37">
            <v>-8.8746591442031786E-2</v>
          </cell>
          <cell r="I37">
            <v>0</v>
          </cell>
          <cell r="J37">
            <v>0</v>
          </cell>
          <cell r="K37">
            <v>0</v>
          </cell>
          <cell r="L37">
            <v>47905.02581882228</v>
          </cell>
          <cell r="M37">
            <v>150270.17770346755</v>
          </cell>
        </row>
        <row r="38">
          <cell r="B38">
            <v>153066.16323704773</v>
          </cell>
          <cell r="C38">
            <v>120741.73466298138</v>
          </cell>
          <cell r="D38">
            <v>78126.933898869916</v>
          </cell>
          <cell r="E38">
            <v>9435.2762123677894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91858.736523218278</v>
          </cell>
          <cell r="M38">
            <v>183578.15404298942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741896.9</v>
          </cell>
          <cell r="Y53">
            <v>794650.99999999977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716942.9</v>
          </cell>
          <cell r="Y53">
            <v>791587.4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729536.10000000009</v>
          </cell>
          <cell r="Y53">
            <v>938751.99999999977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696731</v>
          </cell>
          <cell r="Y53">
            <v>926403.99999999977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703755.1</v>
          </cell>
          <cell r="Y53">
            <v>868339.5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742513.5</v>
          </cell>
          <cell r="Y53">
            <v>831653.39999999979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722438.29999999993</v>
          </cell>
          <cell r="Y53">
            <v>859772.7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735260.70000000007</v>
          </cell>
          <cell r="Y53">
            <v>955743.89999999979</v>
          </cell>
        </row>
      </sheetData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735458.1</v>
          </cell>
          <cell r="Y53">
            <v>920869.09999999974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699266</v>
          </cell>
          <cell r="Y53">
            <v>845509.8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127534.18285780319</v>
          </cell>
          <cell r="C6">
            <v>110075.21511869688</v>
          </cell>
          <cell r="D6">
            <v>120489.53730060629</v>
          </cell>
          <cell r="E6">
            <v>119592.839036554</v>
          </cell>
          <cell r="F6">
            <v>118119.07647772707</v>
          </cell>
          <cell r="G6">
            <v>109824.7225121947</v>
          </cell>
          <cell r="H6">
            <v>111411.34801694767</v>
          </cell>
          <cell r="I6">
            <v>95706.615719578607</v>
          </cell>
          <cell r="J6">
            <v>106529.92297373408</v>
          </cell>
          <cell r="K6">
            <v>109268.62644499465</v>
          </cell>
          <cell r="L6">
            <v>110544.94759604581</v>
          </cell>
          <cell r="M6">
            <v>111769.63739115441</v>
          </cell>
        </row>
        <row r="7">
          <cell r="B7">
            <v>114214.43025196025</v>
          </cell>
          <cell r="C7">
            <v>104887.44122405455</v>
          </cell>
          <cell r="D7">
            <v>120088.79361382684</v>
          </cell>
          <cell r="E7">
            <v>110481.76786959523</v>
          </cell>
          <cell r="F7">
            <v>114041.084766917</v>
          </cell>
          <cell r="G7">
            <v>103736.90507981859</v>
          </cell>
          <cell r="H7">
            <v>111515.93454484755</v>
          </cell>
          <cell r="I7">
            <v>92632.122581135161</v>
          </cell>
          <cell r="J7">
            <v>101550.18815111333</v>
          </cell>
          <cell r="K7">
            <v>109709.59246041346</v>
          </cell>
          <cell r="L7">
            <v>128813.46146805643</v>
          </cell>
          <cell r="M7">
            <v>105609.2670943858</v>
          </cell>
        </row>
        <row r="21">
          <cell r="B21">
            <v>43879.118642852292</v>
          </cell>
          <cell r="C21">
            <v>48861.969961270748</v>
          </cell>
          <cell r="D21">
            <v>54060.112197618299</v>
          </cell>
          <cell r="E21">
            <v>50943.917761671713</v>
          </cell>
          <cell r="F21">
            <v>61777.362598175809</v>
          </cell>
          <cell r="G21">
            <v>86045.005646365418</v>
          </cell>
          <cell r="H21">
            <v>82999.603238863332</v>
          </cell>
          <cell r="I21">
            <v>80152.733248874749</v>
          </cell>
          <cell r="J21">
            <v>78886.721991056969</v>
          </cell>
          <cell r="K21">
            <v>71243.499348577301</v>
          </cell>
          <cell r="L21">
            <v>53523.511490512908</v>
          </cell>
          <cell r="M21">
            <v>48298.826009296034</v>
          </cell>
        </row>
        <row r="22">
          <cell r="B22">
            <v>46103.852187250908</v>
          </cell>
          <cell r="C22">
            <v>47422.331667857397</v>
          </cell>
          <cell r="D22">
            <v>48263.084478557881</v>
          </cell>
          <cell r="E22">
            <v>47077.239749740555</v>
          </cell>
          <cell r="F22">
            <v>62175.568589239192</v>
          </cell>
          <cell r="G22">
            <v>69153.762718784099</v>
          </cell>
          <cell r="H22">
            <v>97725.494635613984</v>
          </cell>
          <cell r="I22">
            <v>92027.607485239612</v>
          </cell>
          <cell r="J22">
            <v>80601.691877872756</v>
          </cell>
          <cell r="K22">
            <v>53253.220526601617</v>
          </cell>
          <cell r="L22">
            <v>51031.801750725041</v>
          </cell>
          <cell r="M22">
            <v>46481.257972845931</v>
          </cell>
        </row>
        <row r="23">
          <cell r="B23">
            <v>78620.211268184532</v>
          </cell>
          <cell r="C23">
            <v>64645.04741628316</v>
          </cell>
          <cell r="D23">
            <v>17138.781956008843</v>
          </cell>
          <cell r="E23">
            <v>2467.8223929698574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13383.536906178013</v>
          </cell>
          <cell r="M23">
            <v>44031.808868014996</v>
          </cell>
        </row>
        <row r="24">
          <cell r="B24">
            <v>49824.892435473521</v>
          </cell>
          <cell r="C24">
            <v>54631.411134325361</v>
          </cell>
          <cell r="D24">
            <v>40584.037593899557</v>
          </cell>
          <cell r="E24">
            <v>5089.8775870352556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23701.043420632664</v>
          </cell>
          <cell r="M24">
            <v>54189.245282492673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734567.20000000007</v>
          </cell>
          <cell r="Y53">
            <v>879954.69999999972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721753.5</v>
          </cell>
          <cell r="Y53">
            <v>878886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742573.9</v>
          </cell>
          <cell r="Y53">
            <v>896256.49999999977</v>
          </cell>
        </row>
      </sheetData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717352.9</v>
          </cell>
          <cell r="Y53">
            <v>879312.2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733855.10000000009</v>
          </cell>
          <cell r="Y53">
            <v>941599.59999999986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699832</v>
          </cell>
          <cell r="Y53">
            <v>952899.19999999972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706729.1</v>
          </cell>
          <cell r="Y53">
            <v>857407.2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736006</v>
          </cell>
          <cell r="Y53">
            <v>916556.19999999972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724225.29999999993</v>
          </cell>
          <cell r="Y53">
            <v>853680.2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732498.45000000007</v>
          </cell>
          <cell r="Y53">
            <v>923264.04999999981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107477.60549332235</v>
          </cell>
          <cell r="C6">
            <v>95716.268494025484</v>
          </cell>
          <cell r="D6">
            <v>104305.51243212511</v>
          </cell>
          <cell r="E6">
            <v>100194.20631868737</v>
          </cell>
          <cell r="F6">
            <v>104186.83860065979</v>
          </cell>
          <cell r="G6">
            <v>101061.09400405805</v>
          </cell>
          <cell r="H6">
            <v>98711.818538541949</v>
          </cell>
          <cell r="I6">
            <v>92419.752284148271</v>
          </cell>
          <cell r="J6">
            <v>99628.828707465742</v>
          </cell>
          <cell r="K6">
            <v>108287.06223028527</v>
          </cell>
          <cell r="L6">
            <v>102885.19718868876</v>
          </cell>
          <cell r="M6">
            <v>101124.67324967906</v>
          </cell>
        </row>
        <row r="7">
          <cell r="B7">
            <v>102084.16939617167</v>
          </cell>
          <cell r="C7">
            <v>95825.384622570142</v>
          </cell>
          <cell r="D7">
            <v>100668.95974131358</v>
          </cell>
          <cell r="E7">
            <v>99128.59580209585</v>
          </cell>
          <cell r="F7">
            <v>100930.7997317978</v>
          </cell>
          <cell r="G7">
            <v>93370.232719600055</v>
          </cell>
          <cell r="H7">
            <v>91202.074731917513</v>
          </cell>
          <cell r="I7">
            <v>73963.293922081488</v>
          </cell>
          <cell r="J7">
            <v>91480.52804874345</v>
          </cell>
          <cell r="K7">
            <v>101904.55278989873</v>
          </cell>
          <cell r="L7">
            <v>108065.54092847316</v>
          </cell>
          <cell r="M7">
            <v>109538.80743228427</v>
          </cell>
        </row>
        <row r="12">
          <cell r="B12">
            <v>58528.295214600257</v>
          </cell>
          <cell r="C12">
            <v>63898.623170979758</v>
          </cell>
          <cell r="D12">
            <v>55537.474424245964</v>
          </cell>
          <cell r="E12">
            <v>67516.363778836909</v>
          </cell>
          <cell r="F12">
            <v>63097.104133378351</v>
          </cell>
          <cell r="G12">
            <v>56300.057276456151</v>
          </cell>
          <cell r="H12">
            <v>47252.798815531409</v>
          </cell>
          <cell r="I12">
            <v>31051.873005929541</v>
          </cell>
          <cell r="J12">
            <v>57158.756980853657</v>
          </cell>
          <cell r="K12">
            <v>46929.549196865177</v>
          </cell>
          <cell r="L12">
            <v>37788.548905664764</v>
          </cell>
          <cell r="M12">
            <v>41510.586013153734</v>
          </cell>
        </row>
        <row r="16">
          <cell r="B16">
            <v>150015.95421679007</v>
          </cell>
          <cell r="C16">
            <v>129443.63808783038</v>
          </cell>
          <cell r="D16">
            <v>139735.14433080729</v>
          </cell>
          <cell r="E16">
            <v>128495.02133175053</v>
          </cell>
          <cell r="F16">
            <v>125640.05800207907</v>
          </cell>
          <cell r="G16">
            <v>115733.84071722592</v>
          </cell>
          <cell r="H16">
            <v>138841.00520921731</v>
          </cell>
          <cell r="I16">
            <v>131711.52810503606</v>
          </cell>
          <cell r="J16">
            <v>130233.22299183604</v>
          </cell>
          <cell r="K16">
            <v>128678.06952045469</v>
          </cell>
          <cell r="L16">
            <v>129225.61789198764</v>
          </cell>
          <cell r="M16">
            <v>134463.01604962884</v>
          </cell>
        </row>
        <row r="17">
          <cell r="B17">
            <v>133777.53196069587</v>
          </cell>
          <cell r="C17">
            <v>127949.45974578116</v>
          </cell>
          <cell r="D17">
            <v>159157.03824801941</v>
          </cell>
          <cell r="E17">
            <v>126542.34972613362</v>
          </cell>
          <cell r="F17">
            <v>123452.76761464005</v>
          </cell>
          <cell r="G17">
            <v>127052.67340196794</v>
          </cell>
          <cell r="H17">
            <v>127727.84481790484</v>
          </cell>
          <cell r="I17">
            <v>136852.02737624667</v>
          </cell>
          <cell r="J17">
            <v>134536.6344871365</v>
          </cell>
          <cell r="K17">
            <v>138139.03667900219</v>
          </cell>
          <cell r="L17">
            <v>155739.12646136878</v>
          </cell>
          <cell r="M17">
            <v>134925.27196460578</v>
          </cell>
        </row>
        <row r="21">
          <cell r="B21">
            <v>50135.44123594604</v>
          </cell>
          <cell r="C21">
            <v>44441.653560590712</v>
          </cell>
          <cell r="D21">
            <v>48183.779142567357</v>
          </cell>
          <cell r="E21">
            <v>57962.17362606214</v>
          </cell>
          <cell r="F21">
            <v>68463.642870522206</v>
          </cell>
          <cell r="G21">
            <v>66053.565277038433</v>
          </cell>
          <cell r="H21">
            <v>67814.422192386279</v>
          </cell>
          <cell r="I21">
            <v>54112.113803559776</v>
          </cell>
          <cell r="J21">
            <v>58055.545705900127</v>
          </cell>
          <cell r="K21">
            <v>50327.385718332807</v>
          </cell>
          <cell r="L21">
            <v>17999.177000809123</v>
          </cell>
          <cell r="M21">
            <v>17651.447</v>
          </cell>
        </row>
        <row r="22">
          <cell r="B22">
            <v>21801.986999819092</v>
          </cell>
          <cell r="C22">
            <v>26951.720583988208</v>
          </cell>
          <cell r="D22">
            <v>31463.623331328385</v>
          </cell>
          <cell r="E22">
            <v>29082.744317511064</v>
          </cell>
          <cell r="F22">
            <v>47867.52780650444</v>
          </cell>
          <cell r="G22">
            <v>51345.16662380792</v>
          </cell>
          <cell r="H22">
            <v>61483.830801096221</v>
          </cell>
          <cell r="I22">
            <v>29082.744317511064</v>
          </cell>
          <cell r="J22">
            <v>63917.24802708489</v>
          </cell>
          <cell r="K22">
            <v>45099.959966654475</v>
          </cell>
          <cell r="L22">
            <v>44438.647517787555</v>
          </cell>
          <cell r="M22">
            <v>23687.909704429272</v>
          </cell>
        </row>
        <row r="23">
          <cell r="B23">
            <v>56541.984734993355</v>
          </cell>
          <cell r="C23">
            <v>46622.44708126974</v>
          </cell>
          <cell r="D23">
            <v>24132.230458290851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24673.6955061761</v>
          </cell>
          <cell r="M23">
            <v>37216.564411162777</v>
          </cell>
        </row>
        <row r="24">
          <cell r="B24">
            <v>42305.942468414003</v>
          </cell>
          <cell r="C24">
            <v>52677.02819739603</v>
          </cell>
          <cell r="D24">
            <v>13009.282015054469</v>
          </cell>
          <cell r="E24">
            <v>6876.6129671801809</v>
          </cell>
          <cell r="F24">
            <v>1803.5368802055968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2521.8596259020028</v>
          </cell>
          <cell r="L24">
            <v>24001</v>
          </cell>
          <cell r="M24">
            <v>37985.926254607424</v>
          </cell>
        </row>
        <row r="29">
          <cell r="B29">
            <v>17220.528270771872</v>
          </cell>
          <cell r="C29">
            <v>24835.354193742962</v>
          </cell>
          <cell r="D29">
            <v>22041.958089885095</v>
          </cell>
          <cell r="E29">
            <v>28011.62790251373</v>
          </cell>
          <cell r="F29">
            <v>33854.595494317851</v>
          </cell>
          <cell r="G29">
            <v>38376.386902257764</v>
          </cell>
          <cell r="H29">
            <v>37237.985627467213</v>
          </cell>
          <cell r="I29">
            <v>27914.117877515582</v>
          </cell>
          <cell r="J29">
            <v>33536.126550031178</v>
          </cell>
          <cell r="K29">
            <v>23510.632472206024</v>
          </cell>
          <cell r="L29">
            <v>25103</v>
          </cell>
          <cell r="M29">
            <v>17953.376914968539</v>
          </cell>
        </row>
        <row r="31">
          <cell r="B31">
            <v>29826.638901618975</v>
          </cell>
          <cell r="C31">
            <v>62981.735460049516</v>
          </cell>
          <cell r="D31">
            <v>9521.7829494494545</v>
          </cell>
          <cell r="E31">
            <v>8285.48098593127</v>
          </cell>
          <cell r="F31">
            <v>1471.1097520812054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1316.3492891218398</v>
          </cell>
          <cell r="L31">
            <v>15353</v>
          </cell>
          <cell r="M31">
            <v>30678.327523449421</v>
          </cell>
        </row>
        <row r="35">
          <cell r="B35">
            <v>75261.80113976862</v>
          </cell>
          <cell r="C35">
            <v>53813.18689699204</v>
          </cell>
          <cell r="D35">
            <v>68765.723398249349</v>
          </cell>
          <cell r="E35">
            <v>72344.153473920334</v>
          </cell>
          <cell r="F35">
            <v>77765.692287899379</v>
          </cell>
          <cell r="G35">
            <v>81294.607802990897</v>
          </cell>
          <cell r="H35">
            <v>105431.35105604967</v>
          </cell>
          <cell r="I35">
            <v>89050.57669344313</v>
          </cell>
          <cell r="J35">
            <v>76112.226982569075</v>
          </cell>
          <cell r="K35">
            <v>61034.828464313527</v>
          </cell>
          <cell r="L35">
            <v>37597.62075932166</v>
          </cell>
          <cell r="M35">
            <v>28605.900352011638</v>
          </cell>
        </row>
        <row r="36">
          <cell r="B36">
            <v>33096.102576553181</v>
          </cell>
          <cell r="C36">
            <v>57494.130813979085</v>
          </cell>
          <cell r="D36">
            <v>79346.511025518266</v>
          </cell>
          <cell r="E36">
            <v>84157.079301883947</v>
          </cell>
          <cell r="F36">
            <v>128030.58759126261</v>
          </cell>
          <cell r="G36">
            <v>145470.15700288635</v>
          </cell>
          <cell r="H36">
            <v>153850.76893798754</v>
          </cell>
          <cell r="I36">
            <v>155124.03013527708</v>
          </cell>
          <cell r="J36">
            <v>159583.15679684366</v>
          </cell>
          <cell r="K36">
            <v>112365.37581356632</v>
          </cell>
          <cell r="L36">
            <v>89296.298693724122</v>
          </cell>
          <cell r="M36">
            <v>39503.335890452938</v>
          </cell>
        </row>
        <row r="37">
          <cell r="B37">
            <v>175359.64063288199</v>
          </cell>
          <cell r="C37">
            <v>130098.56821283601</v>
          </cell>
          <cell r="D37">
            <v>74613.695928762827</v>
          </cell>
          <cell r="E37">
            <v>74613.695928762827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64750.655483303737</v>
          </cell>
          <cell r="M37">
            <v>121437.37337088001</v>
          </cell>
        </row>
        <row r="38">
          <cell r="B38">
            <v>136786.75078460801</v>
          </cell>
          <cell r="C38">
            <v>231563.08568567244</v>
          </cell>
          <cell r="D38">
            <v>63574.141962700647</v>
          </cell>
          <cell r="E38">
            <v>37933.065713717588</v>
          </cell>
          <cell r="F38">
            <v>8672.016307139409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11582.122297358012</v>
          </cell>
          <cell r="L38">
            <v>95050</v>
          </cell>
          <cell r="M38">
            <v>135612.40683544317</v>
          </cell>
        </row>
      </sheetData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17.3</v>
          </cell>
        </row>
        <row r="53">
          <cell r="Y53">
            <v>912854.10999999975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7">
          <cell r="I47">
            <v>17.900000000000002</v>
          </cell>
        </row>
        <row r="53">
          <cell r="Y53">
            <v>811326.29999999981</v>
          </cell>
        </row>
      </sheetData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69.933512750920627</v>
          </cell>
        </row>
        <row r="53">
          <cell r="Y53">
            <v>982388.29999999981</v>
          </cell>
        </row>
      </sheetData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71.149036145762679</v>
          </cell>
        </row>
        <row r="53">
          <cell r="Y53">
            <v>946424.24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70.986711111999</v>
          </cell>
        </row>
        <row r="53">
          <cell r="Y53">
            <v>891725.49999999977</v>
          </cell>
        </row>
      </sheetData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70.418443481081724</v>
          </cell>
        </row>
        <row r="53">
          <cell r="Y53">
            <v>857806.36</v>
          </cell>
        </row>
      </sheetData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69.742936264898759</v>
          </cell>
        </row>
        <row r="53">
          <cell r="Y53">
            <v>935592.99999999977</v>
          </cell>
        </row>
      </sheetData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66.305434183902079</v>
          </cell>
        </row>
        <row r="53">
          <cell r="Y53">
            <v>897020.89999999979</v>
          </cell>
        </row>
      </sheetData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69.218732489899423</v>
          </cell>
        </row>
        <row r="53">
          <cell r="Y53">
            <v>824443.10000000009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70.049439724347607</v>
          </cell>
        </row>
        <row r="53">
          <cell r="Y53">
            <v>915339.89999999979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1350866.6714460372</v>
          </cell>
        </row>
        <row r="12">
          <cell r="B12">
            <v>53496.332423999913</v>
          </cell>
          <cell r="C12">
            <v>55428.457100832406</v>
          </cell>
          <cell r="D12">
            <v>65077.584059365239</v>
          </cell>
          <cell r="E12">
            <v>60911.526055211107</v>
          </cell>
          <cell r="F12">
            <v>62124.430786560399</v>
          </cell>
          <cell r="G12">
            <v>60354.694463133914</v>
          </cell>
          <cell r="H12">
            <v>60084.863997209817</v>
          </cell>
          <cell r="I12">
            <v>47819.497869497223</v>
          </cell>
          <cell r="J12">
            <v>69312.893805126601</v>
          </cell>
          <cell r="K12">
            <v>62547.279032584906</v>
          </cell>
          <cell r="L12">
            <v>67663.260650733806</v>
          </cell>
          <cell r="M12">
            <v>61693.260825511112</v>
          </cell>
        </row>
        <row r="16">
          <cell r="B16">
            <v>168376.92508732941</v>
          </cell>
          <cell r="C16">
            <v>139221.38981472439</v>
          </cell>
          <cell r="D16">
            <v>132921.15613325813</v>
          </cell>
          <cell r="E16">
            <v>121844.24581486464</v>
          </cell>
          <cell r="F16">
            <v>132695.65366928131</v>
          </cell>
          <cell r="G16">
            <v>113789.0622277287</v>
          </cell>
          <cell r="H16">
            <v>128130.79070343323</v>
          </cell>
          <cell r="I16">
            <v>119879.01668668447</v>
          </cell>
          <cell r="J16">
            <v>114438.22967897165</v>
          </cell>
          <cell r="K16">
            <v>125483.54761291607</v>
          </cell>
          <cell r="L16">
            <v>132629.20821754538</v>
          </cell>
          <cell r="M16">
            <v>147920.08639782105</v>
          </cell>
        </row>
        <row r="17">
          <cell r="B17">
            <v>140087.10681812651</v>
          </cell>
          <cell r="C17">
            <v>116252.54445727274</v>
          </cell>
          <cell r="D17">
            <v>131337.83105237747</v>
          </cell>
          <cell r="E17">
            <v>125682.52263945162</v>
          </cell>
          <cell r="F17">
            <v>130760.56474299387</v>
          </cell>
          <cell r="G17">
            <v>131385.84123325071</v>
          </cell>
          <cell r="H17">
            <v>139434.38179434335</v>
          </cell>
          <cell r="I17">
            <v>141364.9790096065</v>
          </cell>
          <cell r="J17">
            <v>117901.30646513788</v>
          </cell>
          <cell r="K17">
            <v>133633.97852607348</v>
          </cell>
          <cell r="L17">
            <v>128275.30878648552</v>
          </cell>
          <cell r="M17">
            <v>141105.35433587138</v>
          </cell>
        </row>
        <row r="28">
          <cell r="B28">
            <v>47171.94374566467</v>
          </cell>
          <cell r="C28">
            <v>49918.092992897764</v>
          </cell>
          <cell r="D28">
            <v>51838.910109956312</v>
          </cell>
          <cell r="E28">
            <v>47663.364195049493</v>
          </cell>
          <cell r="F28">
            <v>46435.610390364309</v>
          </cell>
          <cell r="G28">
            <v>65118.573697801818</v>
          </cell>
          <cell r="H28">
            <v>64105.456019762394</v>
          </cell>
          <cell r="I28">
            <v>46955.370377432497</v>
          </cell>
          <cell r="J28">
            <v>52440.459545033453</v>
          </cell>
          <cell r="K28">
            <v>46103.002401981103</v>
          </cell>
          <cell r="L28">
            <v>35130.009070380773</v>
          </cell>
          <cell r="M28">
            <v>37965.771607312585</v>
          </cell>
        </row>
        <row r="29">
          <cell r="B29">
            <v>28532.848187309624</v>
          </cell>
          <cell r="C29">
            <v>32755.760966002039</v>
          </cell>
          <cell r="D29">
            <v>37702.165793561318</v>
          </cell>
          <cell r="E29">
            <v>36666.623902968699</v>
          </cell>
          <cell r="F29">
            <v>51648.09203354449</v>
          </cell>
          <cell r="G29">
            <v>60850.567017703106</v>
          </cell>
          <cell r="H29">
            <v>50001.854748823571</v>
          </cell>
          <cell r="I29">
            <v>32778.652645765593</v>
          </cell>
          <cell r="J29">
            <v>69755.928471988474</v>
          </cell>
          <cell r="K29">
            <v>63414.795289946138</v>
          </cell>
          <cell r="L29">
            <v>49697.423875910317</v>
          </cell>
          <cell r="M29">
            <v>36896.067248431551</v>
          </cell>
        </row>
        <row r="30">
          <cell r="B30">
            <v>44112.814714775188</v>
          </cell>
          <cell r="C30">
            <v>42680.17097951311</v>
          </cell>
          <cell r="D30">
            <v>30419.847060619431</v>
          </cell>
          <cell r="E30">
            <v>4437.6955647029754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26575.434607038609</v>
          </cell>
          <cell r="M30">
            <v>54551.722719929756</v>
          </cell>
        </row>
        <row r="31">
          <cell r="B31">
            <v>43019.778901109523</v>
          </cell>
          <cell r="C31">
            <v>45748.332254175672</v>
          </cell>
          <cell r="D31">
            <v>10797.693294321347</v>
          </cell>
          <cell r="E31">
            <v>1893.076149094537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14262.839964488952</v>
          </cell>
          <cell r="M31">
            <v>35080.835786601107</v>
          </cell>
        </row>
        <row r="35">
          <cell r="B35">
            <v>82710.631760324919</v>
          </cell>
          <cell r="C35">
            <v>74461.075334167341</v>
          </cell>
          <cell r="D35">
            <v>73817.494341867408</v>
          </cell>
          <cell r="E35">
            <v>63096.926568178787</v>
          </cell>
          <cell r="F35">
            <v>72425.523100925318</v>
          </cell>
          <cell r="G35">
            <v>102106.58044409135</v>
          </cell>
          <cell r="H35">
            <v>128876.07660069615</v>
          </cell>
          <cell r="I35">
            <v>141651.24167574741</v>
          </cell>
          <cell r="J35">
            <v>119224.49004263975</v>
          </cell>
          <cell r="K35">
            <v>76913.517110882865</v>
          </cell>
          <cell r="L35">
            <v>67559.45749445603</v>
          </cell>
          <cell r="M35">
            <v>90290.406522406905</v>
          </cell>
        </row>
        <row r="36">
          <cell r="B36">
            <v>81538.180583226043</v>
          </cell>
          <cell r="C36">
            <v>67425.910865990096</v>
          </cell>
          <cell r="D36">
            <v>93748.208196884574</v>
          </cell>
          <cell r="E36">
            <v>85789.047513720405</v>
          </cell>
          <cell r="F36">
            <v>78924.601152306815</v>
          </cell>
          <cell r="G36">
            <v>116195.12179374056</v>
          </cell>
          <cell r="H36">
            <v>142398.80861637159</v>
          </cell>
          <cell r="I36">
            <v>132895.85290239714</v>
          </cell>
          <cell r="J36">
            <v>91919.900552149076</v>
          </cell>
          <cell r="K36">
            <v>100807.17516798031</v>
          </cell>
          <cell r="L36">
            <v>79895.463180285398</v>
          </cell>
          <cell r="M36">
            <v>90027.883668210663</v>
          </cell>
        </row>
        <row r="38">
          <cell r="B38">
            <v>226545.46553327411</v>
          </cell>
          <cell r="C38">
            <v>147573.38022015718</v>
          </cell>
          <cell r="D38">
            <v>49131.64707028347</v>
          </cell>
          <cell r="E38">
            <v>7021.8405730390004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35679.16117078274</v>
          </cell>
          <cell r="M38">
            <v>148805.59677716807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70.312778318440536</v>
          </cell>
        </row>
        <row r="53">
          <cell r="Y53">
            <v>876725.2</v>
          </cell>
        </row>
      </sheetData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69.412383618774726</v>
          </cell>
        </row>
        <row r="53">
          <cell r="Y53">
            <v>897049.49999999977</v>
          </cell>
        </row>
      </sheetData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69.179159781540534</v>
          </cell>
        </row>
        <row r="53">
          <cell r="Y53">
            <v>878444.89999999967</v>
          </cell>
        </row>
      </sheetData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70.601820839810756</v>
          </cell>
        </row>
        <row r="53">
          <cell r="Y53">
            <v>778332.09999999986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70.28369097936698</v>
          </cell>
        </row>
        <row r="53">
          <cell r="Y53">
            <v>913985.34999999986</v>
          </cell>
        </row>
      </sheetData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70.503022796307775</v>
          </cell>
        </row>
        <row r="53">
          <cell r="Y53">
            <v>878723.70000000007</v>
          </cell>
        </row>
      </sheetData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70.92693061790618</v>
          </cell>
        </row>
        <row r="53">
          <cell r="Y53">
            <v>872897.89999999979</v>
          </cell>
        </row>
      </sheetData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70.207221288350198</v>
          </cell>
        </row>
        <row r="53">
          <cell r="Y53">
            <v>882058.1</v>
          </cell>
        </row>
      </sheetData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70.015905949414901</v>
          </cell>
        </row>
        <row r="53">
          <cell r="Y53">
            <v>913007.89999999979</v>
          </cell>
        </row>
      </sheetData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66.283097360202206</v>
          </cell>
        </row>
        <row r="53">
          <cell r="Y53">
            <v>923550.59999999986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1215998.8575416873</v>
          </cell>
        </row>
        <row r="11">
          <cell r="B11">
            <v>60450.546916731269</v>
          </cell>
          <cell r="C11">
            <v>65299.333465937416</v>
          </cell>
          <cell r="D11">
            <v>67684.398130534537</v>
          </cell>
          <cell r="E11">
            <v>62269.690098627048</v>
          </cell>
          <cell r="F11">
            <v>67979.144897236838</v>
          </cell>
          <cell r="G11">
            <v>62799.726157837911</v>
          </cell>
          <cell r="H11">
            <v>57969.465852777925</v>
          </cell>
          <cell r="I11">
            <v>51952.148907073039</v>
          </cell>
          <cell r="J11">
            <v>50771.725552590673</v>
          </cell>
          <cell r="K11">
            <v>63917.239187367886</v>
          </cell>
          <cell r="L11">
            <v>47266.305224352895</v>
          </cell>
          <cell r="M11">
            <v>54848.513210417281</v>
          </cell>
        </row>
        <row r="12">
          <cell r="B12">
            <v>65212.21665669122</v>
          </cell>
          <cell r="C12">
            <v>68151.258984830682</v>
          </cell>
          <cell r="D12">
            <v>61351.292480627497</v>
          </cell>
          <cell r="E12">
            <v>57223.041522382657</v>
          </cell>
          <cell r="F12">
            <v>68505.60576887583</v>
          </cell>
          <cell r="G12">
            <v>57648.060683418938</v>
          </cell>
          <cell r="H12">
            <v>51749.575150142453</v>
          </cell>
          <cell r="I12">
            <v>43298.950189800031</v>
          </cell>
          <cell r="J12">
            <v>45564.89323833424</v>
          </cell>
          <cell r="K12">
            <v>56171.241791125285</v>
          </cell>
          <cell r="L12">
            <v>59160.489918773164</v>
          </cell>
          <cell r="M12">
            <v>52996.34980842712</v>
          </cell>
        </row>
        <row r="16">
          <cell r="B16">
            <v>146213.00855721527</v>
          </cell>
          <cell r="C16">
            <v>130767.8468795591</v>
          </cell>
          <cell r="D16">
            <v>144555.9320208868</v>
          </cell>
          <cell r="E16">
            <v>132991.55104399141</v>
          </cell>
          <cell r="F16">
            <v>131967.52580517324</v>
          </cell>
          <cell r="G16">
            <v>123843.23081077928</v>
          </cell>
          <cell r="H16">
            <v>127201.16788484556</v>
          </cell>
          <cell r="I16">
            <v>134825.0943754341</v>
          </cell>
          <cell r="J16">
            <v>128389.23173493684</v>
          </cell>
          <cell r="K16">
            <v>136916.0721547498</v>
          </cell>
          <cell r="L16">
            <v>123438.49333769016</v>
          </cell>
          <cell r="M16">
            <v>143244.22021197301</v>
          </cell>
        </row>
        <row r="28">
          <cell r="B28">
            <v>42042.039141122645</v>
          </cell>
          <cell r="C28">
            <v>37182.149179966793</v>
          </cell>
          <cell r="D28">
            <v>41491.263760286674</v>
          </cell>
          <cell r="E28">
            <v>41592.774375356443</v>
          </cell>
          <cell r="F28">
            <v>48588.905400472926</v>
          </cell>
          <cell r="G28">
            <v>49355.363968543876</v>
          </cell>
          <cell r="H28">
            <v>50969.955866542194</v>
          </cell>
          <cell r="I28">
            <v>39185.627260871879</v>
          </cell>
          <cell r="J28">
            <v>51412.782085233477</v>
          </cell>
          <cell r="K28">
            <v>52251.55224474796</v>
          </cell>
          <cell r="L28">
            <v>35303.52485232507</v>
          </cell>
          <cell r="M28">
            <v>34273.386791912373</v>
          </cell>
        </row>
        <row r="29">
          <cell r="B29">
            <v>43693.134752849845</v>
          </cell>
          <cell r="C29">
            <v>26197.960584204699</v>
          </cell>
          <cell r="D29">
            <v>28155.137263316341</v>
          </cell>
          <cell r="E29">
            <v>36977.347731536611</v>
          </cell>
          <cell r="F29">
            <v>61602.460319967562</v>
          </cell>
          <cell r="G29">
            <v>47994.533689326774</v>
          </cell>
          <cell r="H29">
            <v>38807.771366610839</v>
          </cell>
          <cell r="I29">
            <v>22423.580126002165</v>
          </cell>
          <cell r="J29">
            <v>31800.127362425039</v>
          </cell>
          <cell r="K29">
            <v>45362.649181079367</v>
          </cell>
          <cell r="L29">
            <v>33432.330631673634</v>
          </cell>
          <cell r="M29">
            <v>17590.499000000003</v>
          </cell>
        </row>
        <row r="30">
          <cell r="B30">
            <v>55153.090915238208</v>
          </cell>
          <cell r="C30">
            <v>53153.98805988198</v>
          </cell>
          <cell r="D30">
            <v>38671.59500104902</v>
          </cell>
          <cell r="E30">
            <v>4230.7828027557507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13345.566426463309</v>
          </cell>
          <cell r="M30">
            <v>39029.459269235645</v>
          </cell>
        </row>
        <row r="31">
          <cell r="B31">
            <v>65617.485752031207</v>
          </cell>
          <cell r="C31">
            <v>27117.697586190854</v>
          </cell>
          <cell r="D31">
            <v>14129.833724041237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30953.123001724205</v>
          </cell>
          <cell r="M31">
            <v>33342.519851368583</v>
          </cell>
        </row>
        <row r="35">
          <cell r="B35">
            <v>87537.348146829783</v>
          </cell>
          <cell r="C35">
            <v>73717.073515535521</v>
          </cell>
          <cell r="D35">
            <v>101631.62716054257</v>
          </cell>
          <cell r="E35">
            <v>96368.344433453458</v>
          </cell>
          <cell r="F35">
            <v>99561.751812483199</v>
          </cell>
          <cell r="G35">
            <v>116555.6375987557</v>
          </cell>
          <cell r="H35">
            <v>161098.63375615171</v>
          </cell>
          <cell r="I35">
            <v>168555.70220596343</v>
          </cell>
          <cell r="J35">
            <v>113138.42343703382</v>
          </cell>
          <cell r="K35">
            <v>72605.788126513988</v>
          </cell>
          <cell r="L35">
            <v>62892.787302829252</v>
          </cell>
          <cell r="M35">
            <v>82432.988703297451</v>
          </cell>
        </row>
        <row r="37">
          <cell r="B37">
            <v>177403.63066994239</v>
          </cell>
          <cell r="C37">
            <v>173883.40008417214</v>
          </cell>
          <cell r="D37">
            <v>158428.39409871685</v>
          </cell>
          <cell r="E37">
            <v>16905.769992250735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55386.367483866903</v>
          </cell>
          <cell r="M37">
            <v>184686.12577917159</v>
          </cell>
        </row>
      </sheetData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69.521690406676697</v>
          </cell>
        </row>
        <row r="53">
          <cell r="Y53">
            <v>851812.5</v>
          </cell>
        </row>
      </sheetData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69.848227561623659</v>
          </cell>
        </row>
        <row r="53">
          <cell r="Y53">
            <v>879446.19999999984</v>
          </cell>
        </row>
      </sheetData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70.65726896497489</v>
          </cell>
        </row>
        <row r="53">
          <cell r="Y53">
            <v>843165.8</v>
          </cell>
        </row>
      </sheetData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69.35524777416596</v>
          </cell>
        </row>
        <row r="53">
          <cell r="Y53">
            <v>893721.09999999986</v>
          </cell>
        </row>
      </sheetData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69.111578522782509</v>
          </cell>
        </row>
        <row r="53">
          <cell r="Y53">
            <v>848948.79999999981</v>
          </cell>
        </row>
      </sheetData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71.09968697733008</v>
          </cell>
        </row>
        <row r="53">
          <cell r="Y53">
            <v>748481.29999999993</v>
          </cell>
        </row>
      </sheetData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69.874369636379726</v>
          </cell>
        </row>
        <row r="53">
          <cell r="Y53">
            <v>898445.89999999967</v>
          </cell>
        </row>
      </sheetData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69.692647969565598</v>
          </cell>
        </row>
        <row r="53">
          <cell r="Y53">
            <v>876373.5</v>
          </cell>
        </row>
      </sheetData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70.213474584252538</v>
          </cell>
        </row>
        <row r="53">
          <cell r="Y53">
            <v>896949.39999999979</v>
          </cell>
        </row>
      </sheetData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70.192348147492794</v>
          </cell>
        </row>
        <row r="53">
          <cell r="Y53">
            <v>821570.2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is 2012 MOD's"/>
      <sheetName val="Globais 07-12 MOD's"/>
      <sheetName val="Mensais 07-12 MOD's"/>
      <sheetName val="FimOcup.BB_2"/>
      <sheetName val="Regressão_1"/>
      <sheetName val="Regressão_2"/>
      <sheetName val="Regressão_3"/>
      <sheetName val="FimOcup._3"/>
      <sheetName val="Chillers_3"/>
      <sheetName val="FimOcup.Foyer_2"/>
      <sheetName val="Chillers_1"/>
      <sheetName val="Chillers_2"/>
      <sheetName val="Indicadores"/>
      <sheetName val="Folha1"/>
    </sheetNames>
    <sheetDataSet>
      <sheetData sheetId="0" refreshError="1"/>
      <sheetData sheetId="1">
        <row r="5">
          <cell r="I5">
            <v>1387444.1318900527</v>
          </cell>
        </row>
        <row r="6">
          <cell r="D6">
            <v>1555189.2676912569</v>
          </cell>
        </row>
        <row r="7">
          <cell r="D7">
            <v>906879.7084842911</v>
          </cell>
        </row>
        <row r="8">
          <cell r="D8">
            <v>689021.08147746651</v>
          </cell>
        </row>
        <row r="44">
          <cell r="D44">
            <v>1577329.3120445583</v>
          </cell>
        </row>
        <row r="45">
          <cell r="D45">
            <v>1093133.4209963845</v>
          </cell>
        </row>
        <row r="46">
          <cell r="D46">
            <v>636806.9985774745</v>
          </cell>
        </row>
        <row r="82">
          <cell r="D82">
            <v>1577221.719860991</v>
          </cell>
        </row>
        <row r="83">
          <cell r="D83">
            <v>1161566.1541932626</v>
          </cell>
        </row>
        <row r="84">
          <cell r="D84">
            <v>614757.09134470462</v>
          </cell>
        </row>
        <row r="120">
          <cell r="D120">
            <v>1604353.3748172345</v>
          </cell>
        </row>
        <row r="121">
          <cell r="D121">
            <v>1236096.10619939</v>
          </cell>
        </row>
        <row r="122">
          <cell r="D122">
            <v>766693.68810812058</v>
          </cell>
        </row>
        <row r="158">
          <cell r="D158">
            <v>1582216.1164546437</v>
          </cell>
        </row>
        <row r="159">
          <cell r="D159">
            <v>827077.66930752934</v>
          </cell>
        </row>
        <row r="160">
          <cell r="D160">
            <v>640873.62955742748</v>
          </cell>
        </row>
        <row r="196">
          <cell r="D196">
            <v>1625851.7624835027</v>
          </cell>
        </row>
        <row r="197">
          <cell r="D197">
            <v>1237317.534579935</v>
          </cell>
        </row>
        <row r="198">
          <cell r="D198">
            <v>720773.58958663931</v>
          </cell>
        </row>
        <row r="202">
          <cell r="J202" t="str">
            <v>Ilum.&amp;Tom.</v>
          </cell>
        </row>
        <row r="203">
          <cell r="J203" t="str">
            <v>AC-Frio</v>
          </cell>
        </row>
        <row r="204">
          <cell r="J204" t="str">
            <v>AC-Quente</v>
          </cell>
        </row>
        <row r="331">
          <cell r="A331">
            <v>2007</v>
          </cell>
        </row>
        <row r="332">
          <cell r="A332">
            <v>2008</v>
          </cell>
        </row>
        <row r="333">
          <cell r="A333">
            <v>2009</v>
          </cell>
        </row>
        <row r="334">
          <cell r="A334">
            <v>2010</v>
          </cell>
        </row>
        <row r="335">
          <cell r="A335">
            <v>2011</v>
          </cell>
        </row>
        <row r="336">
          <cell r="A336">
            <v>2012</v>
          </cell>
        </row>
      </sheetData>
      <sheetData sheetId="2">
        <row r="49">
          <cell r="D49">
            <v>147825.55111411825</v>
          </cell>
          <cell r="E49">
            <v>115452.8698370107</v>
          </cell>
          <cell r="F49">
            <v>111903.14194991237</v>
          </cell>
          <cell r="G49">
            <v>95970.036511786719</v>
          </cell>
          <cell r="H49">
            <v>106536.42834000879</v>
          </cell>
          <cell r="I49">
            <v>125524.40926980792</v>
          </cell>
          <cell r="J49">
            <v>137624.54105597417</v>
          </cell>
          <cell r="K49">
            <v>150417.92678118157</v>
          </cell>
          <cell r="L49">
            <v>128665.57848618401</v>
          </cell>
          <cell r="M49">
            <v>127850.10291017215</v>
          </cell>
          <cell r="N49">
            <v>144501.4727832666</v>
          </cell>
          <cell r="O49">
            <v>162917.20865183364</v>
          </cell>
        </row>
        <row r="50">
          <cell r="D50">
            <v>168376.92508732941</v>
          </cell>
          <cell r="E50">
            <v>139221.38981472439</v>
          </cell>
          <cell r="F50">
            <v>132921.15613325813</v>
          </cell>
          <cell r="G50">
            <v>121844.24581486464</v>
          </cell>
          <cell r="H50">
            <v>132695.65366928131</v>
          </cell>
          <cell r="I50">
            <v>113789.0622277287</v>
          </cell>
          <cell r="J50">
            <v>128130.79070343323</v>
          </cell>
          <cell r="K50">
            <v>119879.01668668447</v>
          </cell>
          <cell r="L50">
            <v>114438.22967897165</v>
          </cell>
          <cell r="M50">
            <v>125483.54761291607</v>
          </cell>
          <cell r="N50">
            <v>132629.20821754538</v>
          </cell>
          <cell r="O50">
            <v>147920.08639782105</v>
          </cell>
        </row>
        <row r="51">
          <cell r="D51">
            <v>140087.10681812651</v>
          </cell>
          <cell r="E51">
            <v>116252.54445727274</v>
          </cell>
          <cell r="F51">
            <v>131337.83105237747</v>
          </cell>
          <cell r="G51">
            <v>125682.52263945162</v>
          </cell>
          <cell r="H51">
            <v>130760.56474299387</v>
          </cell>
          <cell r="I51">
            <v>131385.84123325071</v>
          </cell>
          <cell r="J51">
            <v>139434.38179434335</v>
          </cell>
          <cell r="K51">
            <v>141364.9790096065</v>
          </cell>
          <cell r="L51">
            <v>117901.30646513788</v>
          </cell>
          <cell r="M51">
            <v>133633.97852607348</v>
          </cell>
          <cell r="N51">
            <v>128275.30878648552</v>
          </cell>
          <cell r="O51">
            <v>141105.35433587138</v>
          </cell>
        </row>
        <row r="52">
          <cell r="D52">
            <v>146213.00855721527</v>
          </cell>
          <cell r="E52">
            <v>130767.8468795591</v>
          </cell>
          <cell r="F52">
            <v>144555.9320208868</v>
          </cell>
          <cell r="G52">
            <v>132991.55104399141</v>
          </cell>
          <cell r="H52">
            <v>131967.52580517324</v>
          </cell>
          <cell r="I52">
            <v>123843.23081077928</v>
          </cell>
          <cell r="J52">
            <v>127201.16788484556</v>
          </cell>
          <cell r="K52">
            <v>134825.0943754341</v>
          </cell>
          <cell r="L52">
            <v>128389.23173493684</v>
          </cell>
          <cell r="M52">
            <v>136916.0721547498</v>
          </cell>
          <cell r="N52">
            <v>123438.49333769016</v>
          </cell>
          <cell r="O52">
            <v>143244.22021197301</v>
          </cell>
        </row>
        <row r="53">
          <cell r="D53">
            <v>150015.95421679007</v>
          </cell>
          <cell r="E53">
            <v>129443.63808783038</v>
          </cell>
          <cell r="F53">
            <v>139735.14433080729</v>
          </cell>
          <cell r="G53">
            <v>128495.02133175053</v>
          </cell>
          <cell r="H53">
            <v>125640.05800207907</v>
          </cell>
          <cell r="I53">
            <v>115733.84071722592</v>
          </cell>
          <cell r="J53">
            <v>138841.00520921731</v>
          </cell>
          <cell r="K53">
            <v>131711.52810503606</v>
          </cell>
          <cell r="L53">
            <v>130233.22299183604</v>
          </cell>
          <cell r="M53">
            <v>128678.06952045469</v>
          </cell>
          <cell r="N53">
            <v>129225.61789198764</v>
          </cell>
          <cell r="O53">
            <v>134463.01604962884</v>
          </cell>
        </row>
        <row r="54">
          <cell r="D54">
            <v>133777.53196069587</v>
          </cell>
          <cell r="E54">
            <v>127949.45974578116</v>
          </cell>
          <cell r="F54">
            <v>159157.03824801941</v>
          </cell>
          <cell r="G54">
            <v>126542.34972613362</v>
          </cell>
          <cell r="H54">
            <v>123452.76761464005</v>
          </cell>
          <cell r="I54">
            <v>127052.67340196794</v>
          </cell>
          <cell r="J54">
            <v>127727.84481790484</v>
          </cell>
          <cell r="K54">
            <v>136852.02737624667</v>
          </cell>
          <cell r="L54">
            <v>134536.6344871365</v>
          </cell>
          <cell r="M54">
            <v>138139.03667900219</v>
          </cell>
          <cell r="N54">
            <v>155739.12646136878</v>
          </cell>
          <cell r="O54">
            <v>134925.27196460578</v>
          </cell>
        </row>
        <row r="55">
          <cell r="D55">
            <v>72680.782218930544</v>
          </cell>
          <cell r="E55">
            <v>66859.89554325903</v>
          </cell>
          <cell r="F55">
            <v>54634.771683628758</v>
          </cell>
          <cell r="G55">
            <v>39084.584638936954</v>
          </cell>
          <cell r="H55">
            <v>41790.44160560413</v>
          </cell>
          <cell r="I55">
            <v>70235.085773907442</v>
          </cell>
          <cell r="J55">
            <v>114834.3729481567</v>
          </cell>
          <cell r="K55">
            <v>119369.94055032027</v>
          </cell>
          <cell r="L55">
            <v>104330.85053452717</v>
          </cell>
          <cell r="M55">
            <v>75215.409542046851</v>
          </cell>
          <cell r="N55">
            <v>73249.546373437828</v>
          </cell>
          <cell r="O55">
            <v>74594.027071535369</v>
          </cell>
        </row>
        <row r="56">
          <cell r="D56">
            <v>82710.631760324919</v>
          </cell>
          <cell r="E56">
            <v>74461.075334167341</v>
          </cell>
          <cell r="F56">
            <v>73817.494341867408</v>
          </cell>
          <cell r="G56">
            <v>63096.926568178787</v>
          </cell>
          <cell r="H56">
            <v>72425.523100925318</v>
          </cell>
          <cell r="I56">
            <v>102106.58044409135</v>
          </cell>
          <cell r="J56">
            <v>128876.07660069615</v>
          </cell>
          <cell r="K56">
            <v>141651.24167574741</v>
          </cell>
          <cell r="L56">
            <v>119224.49004263975</v>
          </cell>
          <cell r="M56">
            <v>76913.517110882865</v>
          </cell>
          <cell r="N56">
            <v>67559.45749445603</v>
          </cell>
          <cell r="O56">
            <v>90290.406522406905</v>
          </cell>
        </row>
        <row r="57">
          <cell r="D57">
            <v>81538.180583226043</v>
          </cell>
          <cell r="E57">
            <v>67425.910865990096</v>
          </cell>
          <cell r="F57">
            <v>93748.208196884574</v>
          </cell>
          <cell r="G57">
            <v>85789.047513720405</v>
          </cell>
          <cell r="H57">
            <v>78924.601152306815</v>
          </cell>
          <cell r="I57">
            <v>116195.12179374056</v>
          </cell>
          <cell r="J57">
            <v>142398.80861637159</v>
          </cell>
          <cell r="K57">
            <v>132895.85290239714</v>
          </cell>
          <cell r="L57">
            <v>91919.900552149076</v>
          </cell>
          <cell r="M57">
            <v>100807.17516798031</v>
          </cell>
          <cell r="N57">
            <v>79895.463180285398</v>
          </cell>
          <cell r="O57">
            <v>90027.883668210663</v>
          </cell>
        </row>
        <row r="58">
          <cell r="D58">
            <v>87537.348146829783</v>
          </cell>
          <cell r="E58">
            <v>73717.073515535521</v>
          </cell>
          <cell r="F58">
            <v>101631.62716054257</v>
          </cell>
          <cell r="G58">
            <v>96368.344433453458</v>
          </cell>
          <cell r="H58">
            <v>99561.751812483199</v>
          </cell>
          <cell r="I58">
            <v>116555.6375987557</v>
          </cell>
          <cell r="J58">
            <v>161098.63375615171</v>
          </cell>
          <cell r="K58">
            <v>168555.70220596343</v>
          </cell>
          <cell r="L58">
            <v>113138.42343703382</v>
          </cell>
          <cell r="M58">
            <v>72605.788126513988</v>
          </cell>
          <cell r="N58">
            <v>62892.787302829252</v>
          </cell>
          <cell r="O58">
            <v>82432.988703297451</v>
          </cell>
        </row>
        <row r="59">
          <cell r="D59">
            <v>75261.80113976862</v>
          </cell>
          <cell r="E59">
            <v>53813.18689699204</v>
          </cell>
          <cell r="F59">
            <v>68765.723398249349</v>
          </cell>
          <cell r="G59">
            <v>72344.153473920334</v>
          </cell>
          <cell r="H59">
            <v>77765.692287899379</v>
          </cell>
          <cell r="I59">
            <v>81294.607802990897</v>
          </cell>
          <cell r="J59">
            <v>105431.35105604967</v>
          </cell>
          <cell r="K59">
            <v>89050.57669344313</v>
          </cell>
          <cell r="L59">
            <v>76112.226982569075</v>
          </cell>
          <cell r="M59">
            <v>61034.828464313527</v>
          </cell>
          <cell r="N59">
            <v>37597.62075932166</v>
          </cell>
          <cell r="O59">
            <v>28605.900352011638</v>
          </cell>
        </row>
        <row r="60">
          <cell r="D60">
            <v>33096.102576553181</v>
          </cell>
          <cell r="E60">
            <v>57494.130813979085</v>
          </cell>
          <cell r="F60">
            <v>79346.511025518266</v>
          </cell>
          <cell r="G60">
            <v>84157.079301883947</v>
          </cell>
          <cell r="H60">
            <v>128030.58759126261</v>
          </cell>
          <cell r="I60">
            <v>145470.15700288635</v>
          </cell>
          <cell r="J60">
            <v>153850.76893798754</v>
          </cell>
          <cell r="K60">
            <v>155124.03013527708</v>
          </cell>
          <cell r="L60">
            <v>159583.15679684366</v>
          </cell>
          <cell r="M60">
            <v>112365.37581356632</v>
          </cell>
          <cell r="N60">
            <v>89296.298693724122</v>
          </cell>
          <cell r="O60">
            <v>39503.335890452938</v>
          </cell>
        </row>
        <row r="61">
          <cell r="D61">
            <v>217210.02406967728</v>
          </cell>
          <cell r="E61">
            <v>178614.12836928578</v>
          </cell>
          <cell r="F61">
            <v>76935.093489080187</v>
          </cell>
          <cell r="G61">
            <v>18086.720773724825</v>
          </cell>
          <cell r="H61">
            <v>0</v>
          </cell>
          <cell r="I61">
            <v>0</v>
          </cell>
          <cell r="J61">
            <v>-8.8746591442031786E-2</v>
          </cell>
          <cell r="K61">
            <v>0</v>
          </cell>
          <cell r="L61">
            <v>0</v>
          </cell>
          <cell r="M61">
            <v>0</v>
          </cell>
          <cell r="N61">
            <v>47905.02581882228</v>
          </cell>
          <cell r="O61">
            <v>150270.17770346755</v>
          </cell>
        </row>
        <row r="62">
          <cell r="D62">
            <v>153066.16323704773</v>
          </cell>
          <cell r="E62">
            <v>120741.73466298138</v>
          </cell>
          <cell r="F62">
            <v>78126.933898869916</v>
          </cell>
          <cell r="G62">
            <v>9435.2762123677894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91858.736523218278</v>
          </cell>
          <cell r="O62">
            <v>183578.15404298942</v>
          </cell>
        </row>
        <row r="63">
          <cell r="D63">
            <v>226545.46553327411</v>
          </cell>
          <cell r="E63">
            <v>147573.38022015718</v>
          </cell>
          <cell r="F63">
            <v>49131.64707028347</v>
          </cell>
          <cell r="G63">
            <v>7021.8405730390004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35679.16117078274</v>
          </cell>
          <cell r="O63">
            <v>148805.59677716807</v>
          </cell>
        </row>
        <row r="64">
          <cell r="D64">
            <v>177403.63066994239</v>
          </cell>
          <cell r="E64">
            <v>173883.40008417214</v>
          </cell>
          <cell r="F64">
            <v>158428.39409871685</v>
          </cell>
          <cell r="G64">
            <v>16905.769992250735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55386.367483866903</v>
          </cell>
          <cell r="O64">
            <v>184686.12577917159</v>
          </cell>
        </row>
        <row r="65">
          <cell r="D65">
            <v>175359.64063288199</v>
          </cell>
          <cell r="E65">
            <v>130098.56821283601</v>
          </cell>
          <cell r="F65">
            <v>74613.695928762827</v>
          </cell>
          <cell r="G65">
            <v>74613.695928762827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64750.655483303737</v>
          </cell>
          <cell r="O65">
            <v>121437.37337088001</v>
          </cell>
        </row>
        <row r="66">
          <cell r="D66">
            <v>136786.75078460801</v>
          </cell>
          <cell r="E66">
            <v>231563.08568567244</v>
          </cell>
          <cell r="F66">
            <v>63574.141962700647</v>
          </cell>
          <cell r="G66">
            <v>37933.065713717588</v>
          </cell>
          <cell r="H66">
            <v>8672.016307139409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11582.122297358012</v>
          </cell>
          <cell r="N66">
            <v>95050</v>
          </cell>
          <cell r="O66">
            <v>135612.40683544317</v>
          </cell>
        </row>
      </sheetData>
      <sheetData sheetId="3" refreshError="1"/>
      <sheetData sheetId="4" refreshError="1"/>
      <sheetData sheetId="5" refreshError="1"/>
      <sheetData sheetId="6">
        <row r="5">
          <cell r="C5" t="str">
            <v>Jan</v>
          </cell>
          <cell r="I5">
            <v>0.16244566056496512</v>
          </cell>
          <cell r="J5">
            <v>3.4067545121121281</v>
          </cell>
          <cell r="L5">
            <v>7.9868991449374219E-2</v>
          </cell>
          <cell r="M5">
            <v>1.6749850137682503</v>
          </cell>
          <cell r="R5">
            <v>0.48100698615684184</v>
          </cell>
          <cell r="S5">
            <v>10.087513047428807</v>
          </cell>
        </row>
        <row r="6">
          <cell r="I6">
            <v>0.1526676771578874</v>
          </cell>
          <cell r="J6">
            <v>2.6607009565612634</v>
          </cell>
          <cell r="L6">
            <v>8.8411357483087691E-2</v>
          </cell>
          <cell r="M6">
            <v>1.5408381643407876</v>
          </cell>
          <cell r="R6">
            <v>0.47726722229032265</v>
          </cell>
          <cell r="S6">
            <v>8.3178402823926909</v>
          </cell>
        </row>
        <row r="7">
          <cell r="I7">
            <v>0.14995132675046161</v>
          </cell>
          <cell r="J7">
            <v>2.5788947234371471</v>
          </cell>
          <cell r="L7">
            <v>7.3211139186204935E-2</v>
          </cell>
          <cell r="M7">
            <v>1.2591007004447545</v>
          </cell>
          <cell r="R7">
            <v>0.32625625884841608</v>
          </cell>
          <cell r="S7">
            <v>5.6110243414697516</v>
          </cell>
        </row>
        <row r="8">
          <cell r="I8">
            <v>0.12627179478609224</v>
          </cell>
          <cell r="J8">
            <v>2.2117039473216593</v>
          </cell>
          <cell r="L8">
            <v>5.1425224270091482E-2</v>
          </cell>
          <cell r="M8">
            <v>0.90073457578342842</v>
          </cell>
          <cell r="R8">
            <v>0.20149447477156879</v>
          </cell>
          <cell r="S8">
            <v>3.5292610354570431</v>
          </cell>
        </row>
        <row r="9">
          <cell r="I9">
            <v>0.13406694050596907</v>
          </cell>
          <cell r="J9">
            <v>2.4552146446689074</v>
          </cell>
          <cell r="L9">
            <v>5.2589679753255382E-2</v>
          </cell>
          <cell r="M9">
            <v>0.96309314885045649</v>
          </cell>
          <cell r="R9">
            <v>0.18665662025922444</v>
          </cell>
          <cell r="S9">
            <v>3.418307793519364</v>
          </cell>
        </row>
        <row r="10">
          <cell r="I10">
            <v>0.15857302588420169</v>
          </cell>
          <cell r="J10">
            <v>2.8928073965373238</v>
          </cell>
          <cell r="L10">
            <v>8.8726886979135139E-2</v>
          </cell>
          <cell r="M10">
            <v>1.6186220417614214</v>
          </cell>
          <cell r="R10">
            <v>0.2472999128633368</v>
          </cell>
          <cell r="S10">
            <v>4.5114294382987445</v>
          </cell>
        </row>
        <row r="11">
          <cell r="I11">
            <v>0.14660372607032976</v>
          </cell>
          <cell r="J11">
            <v>3.1716643211284627</v>
          </cell>
          <cell r="L11">
            <v>0.12232663466832212</v>
          </cell>
          <cell r="M11">
            <v>2.6464472159125707</v>
          </cell>
          <cell r="R11">
            <v>0.26893026620187171</v>
          </cell>
          <cell r="S11">
            <v>5.8181094918069816</v>
          </cell>
        </row>
        <row r="12">
          <cell r="I12">
            <v>0.16236752732196924</v>
          </cell>
          <cell r="J12">
            <v>3.4664978205882098</v>
          </cell>
          <cell r="L12">
            <v>0.12885300641007627</v>
          </cell>
          <cell r="M12">
            <v>2.7509728901089892</v>
          </cell>
          <cell r="R12">
            <v>0.29122053373204554</v>
          </cell>
          <cell r="S12">
            <v>6.2174707106971994</v>
          </cell>
        </row>
        <row r="13">
          <cell r="I13">
            <v>0.14817427801704749</v>
          </cell>
          <cell r="J13">
            <v>2.9651980781248111</v>
          </cell>
          <cell r="L13">
            <v>0.12014983832306048</v>
          </cell>
          <cell r="M13">
            <v>2.4043853930002408</v>
          </cell>
          <cell r="R13">
            <v>0.26832411634010794</v>
          </cell>
          <cell r="S13">
            <v>5.3695834711250514</v>
          </cell>
        </row>
        <row r="14">
          <cell r="I14">
            <v>0.15373003093617146</v>
          </cell>
          <cell r="J14">
            <v>2.9464048108096703</v>
          </cell>
          <cell r="L14">
            <v>9.0440812893985492E-2</v>
          </cell>
          <cell r="M14">
            <v>1.7333974668554923</v>
          </cell>
          <cell r="R14">
            <v>0.24417084383015694</v>
          </cell>
          <cell r="S14">
            <v>4.6798022776651624</v>
          </cell>
        </row>
        <row r="15">
          <cell r="I15">
            <v>0.16806938948313502</v>
          </cell>
          <cell r="J15">
            <v>3.3301485480761746</v>
          </cell>
          <cell r="L15">
            <v>8.5196408740865856E-2</v>
          </cell>
          <cell r="M15">
            <v>1.6880926249700476</v>
          </cell>
          <cell r="R15">
            <v>0.30898404307967292</v>
          </cell>
          <cell r="S15">
            <v>6.1222496589346544</v>
          </cell>
        </row>
        <row r="16">
          <cell r="I16">
            <v>0.17046115455388591</v>
          </cell>
          <cell r="J16">
            <v>3.7545534685467477</v>
          </cell>
          <cell r="L16">
            <v>7.8048133052730326E-2</v>
          </cell>
          <cell r="M16">
            <v>1.7190772257387981</v>
          </cell>
          <cell r="R16">
            <v>0.40573778543272587</v>
          </cell>
          <cell r="S16">
            <v>8.9367235227504782</v>
          </cell>
        </row>
        <row r="17">
          <cell r="I17">
            <v>0.18284566730204049</v>
          </cell>
          <cell r="J17">
            <v>3.8803768695846315</v>
          </cell>
          <cell r="L17">
            <v>8.9818011876307877E-2</v>
          </cell>
          <cell r="M17">
            <v>1.9061306778528919</v>
          </cell>
          <cell r="R17">
            <v>0.43888292058524081</v>
          </cell>
          <cell r="S17">
            <v>9.3140360317179471</v>
          </cell>
        </row>
        <row r="18">
          <cell r="I18">
            <v>0.16465969976305939</v>
          </cell>
          <cell r="J18">
            <v>3.2084649396482838</v>
          </cell>
          <cell r="L18">
            <v>8.8066484071701284E-2</v>
          </cell>
          <cell r="M18">
            <v>1.716013249803934</v>
          </cell>
          <cell r="R18">
            <v>0.39552965537699636</v>
          </cell>
          <cell r="S18">
            <v>7.7070651391589919</v>
          </cell>
        </row>
        <row r="19">
          <cell r="I19">
            <v>0.15105454420921688</v>
          </cell>
          <cell r="J19">
            <v>3.0632711665831205</v>
          </cell>
          <cell r="L19">
            <v>8.3887834614517584E-2</v>
          </cell>
          <cell r="M19">
            <v>1.7011814265304674</v>
          </cell>
          <cell r="R19">
            <v>0.32372755594577257</v>
          </cell>
          <cell r="S19">
            <v>6.5649483976040548</v>
          </cell>
        </row>
        <row r="20">
          <cell r="I20">
            <v>0.13863486938563663</v>
          </cell>
          <cell r="J20">
            <v>2.8079951745571088</v>
          </cell>
          <cell r="L20">
            <v>7.1791934981532066E-2</v>
          </cell>
          <cell r="M20">
            <v>1.4541176249064636</v>
          </cell>
          <cell r="R20">
            <v>0.22116229931459963</v>
          </cell>
          <cell r="S20">
            <v>4.479556059896229</v>
          </cell>
        </row>
        <row r="21">
          <cell r="I21">
            <v>0.14805544358036046</v>
          </cell>
          <cell r="J21">
            <v>3.0580742873504336</v>
          </cell>
          <cell r="L21">
            <v>8.0808923674110411E-2</v>
          </cell>
          <cell r="M21">
            <v>1.6691023693575369</v>
          </cell>
          <cell r="R21">
            <v>0.22886436725447087</v>
          </cell>
          <cell r="S21">
            <v>4.7271766567079707</v>
          </cell>
        </row>
        <row r="22">
          <cell r="I22">
            <v>0.129406895784829</v>
          </cell>
          <cell r="J22">
            <v>2.6223572193826192</v>
          </cell>
          <cell r="L22">
            <v>0.11612096414003054</v>
          </cell>
          <cell r="M22">
            <v>2.3531253631228717</v>
          </cell>
          <cell r="R22">
            <v>0.24552785992485954</v>
          </cell>
          <cell r="S22">
            <v>4.9754825825054914</v>
          </cell>
        </row>
        <row r="23">
          <cell r="I23">
            <v>0.13607778795087982</v>
          </cell>
          <cell r="J23">
            <v>2.9528734787698441</v>
          </cell>
          <cell r="L23">
            <v>0.13686929837342346</v>
          </cell>
          <cell r="M23">
            <v>2.970049170483342</v>
          </cell>
          <cell r="R23">
            <v>0.27294708632430326</v>
          </cell>
          <cell r="S23">
            <v>5.9229226492531861</v>
          </cell>
        </row>
        <row r="24">
          <cell r="I24">
            <v>0.12580450973899915</v>
          </cell>
          <cell r="J24">
            <v>2.7627049446252512</v>
          </cell>
          <cell r="L24">
            <v>0.14865291279051074</v>
          </cell>
          <cell r="M24">
            <v>3.2644627609242134</v>
          </cell>
          <cell r="R24">
            <v>0.27445742252950989</v>
          </cell>
          <cell r="S24">
            <v>6.0271677055494655</v>
          </cell>
        </row>
        <row r="25">
          <cell r="I25">
            <v>0.13347010577817828</v>
          </cell>
          <cell r="J25">
            <v>2.6373177869365394</v>
          </cell>
          <cell r="L25">
            <v>0.13905235463690968</v>
          </cell>
          <cell r="M25">
            <v>2.747620870315421</v>
          </cell>
          <cell r="R25">
            <v>0.27252246041508799</v>
          </cell>
          <cell r="S25">
            <v>5.3849386572519613</v>
          </cell>
        </row>
        <row r="26">
          <cell r="I26">
            <v>0.13690764146586548</v>
          </cell>
          <cell r="J26">
            <v>2.8918657079527756</v>
          </cell>
          <cell r="L26">
            <v>8.3915767642925645E-2</v>
          </cell>
          <cell r="M26">
            <v>1.7725316732128082</v>
          </cell>
          <cell r="R26">
            <v>0.22082340910879117</v>
          </cell>
          <cell r="S26">
            <v>4.6643973811655837</v>
          </cell>
        </row>
        <row r="27">
          <cell r="I27">
            <v>0.15536170127589394</v>
          </cell>
          <cell r="J27">
            <v>3.0565430003651683</v>
          </cell>
          <cell r="L27">
            <v>7.9139070455723395E-2</v>
          </cell>
          <cell r="M27">
            <v>1.5569601122434376</v>
          </cell>
          <cell r="R27">
            <v>0.34210398956801358</v>
          </cell>
          <cell r="S27">
            <v>6.7304589620463648</v>
          </cell>
        </row>
        <row r="28">
          <cell r="I28">
            <v>0.16021428149165029</v>
          </cell>
          <cell r="J28">
            <v>3.4089331510678496</v>
          </cell>
          <cell r="L28">
            <v>9.7794782026232818E-2</v>
          </cell>
          <cell r="M28">
            <v>2.0808124678201896</v>
          </cell>
          <cell r="R28">
            <v>0.4568450888597011</v>
          </cell>
          <cell r="S28">
            <v>9.7204466032420189</v>
          </cell>
        </row>
        <row r="29">
          <cell r="I29">
            <v>0.15346056427146562</v>
          </cell>
          <cell r="J29">
            <v>3.2284160596361646</v>
          </cell>
          <cell r="L29">
            <v>8.9322247322987963E-2</v>
          </cell>
          <cell r="M29">
            <v>1.8791106308602763</v>
          </cell>
          <cell r="R29">
            <v>0.49095550759433704</v>
          </cell>
          <cell r="S29">
            <v>10.328442703237853</v>
          </cell>
        </row>
        <row r="30">
          <cell r="I30">
            <v>0.14328704056219152</v>
          </cell>
          <cell r="J30">
            <v>2.6791300785923804</v>
          </cell>
          <cell r="L30">
            <v>8.3105787235037379E-2</v>
          </cell>
          <cell r="M30">
            <v>1.5538824265816911</v>
          </cell>
          <cell r="R30">
            <v>0.40828435555881787</v>
          </cell>
          <cell r="S30">
            <v>7.6339555433945039</v>
          </cell>
        </row>
        <row r="31">
          <cell r="I31">
            <v>0.13369238116168269</v>
          </cell>
          <cell r="J31">
            <v>3.0267822117118044</v>
          </cell>
          <cell r="L31">
            <v>9.5428872877338408E-2</v>
          </cell>
          <cell r="M31">
            <v>2.1605001900558527</v>
          </cell>
          <cell r="R31">
            <v>0.27913370539891968</v>
          </cell>
          <cell r="S31">
            <v>6.3195593260388563</v>
          </cell>
        </row>
        <row r="32">
          <cell r="I32">
            <v>0.13279723545484381</v>
          </cell>
          <cell r="J32">
            <v>2.8964512418089918</v>
          </cell>
          <cell r="L32">
            <v>9.064544618354281E-2</v>
          </cell>
          <cell r="M32">
            <v>1.9770751572003158</v>
          </cell>
          <cell r="R32">
            <v>0.23086201884073784</v>
          </cell>
          <cell r="S32">
            <v>5.0353501627310848</v>
          </cell>
        </row>
        <row r="33">
          <cell r="I33">
            <v>0.14663768698214183</v>
          </cell>
          <cell r="J33">
            <v>3.0134786617547018</v>
          </cell>
          <cell r="L33">
            <v>8.8507731529833836E-2</v>
          </cell>
          <cell r="M33">
            <v>1.8188786651957347</v>
          </cell>
          <cell r="R33">
            <v>0.23514541851197565</v>
          </cell>
          <cell r="S33">
            <v>4.8323573269504365</v>
          </cell>
        </row>
        <row r="34">
          <cell r="I34">
            <v>0.15316491851756697</v>
          </cell>
          <cell r="J34">
            <v>3.0278886435775036</v>
          </cell>
          <cell r="L34">
            <v>0.13545612064911777</v>
          </cell>
          <cell r="M34">
            <v>2.6778067287613712</v>
          </cell>
          <cell r="R34">
            <v>0.28862103916668475</v>
          </cell>
          <cell r="S34">
            <v>5.7056953723388748</v>
          </cell>
        </row>
        <row r="35">
          <cell r="I35">
            <v>0.14903316056698093</v>
          </cell>
          <cell r="J35">
            <v>3.2133735050630032</v>
          </cell>
          <cell r="L35">
            <v>0.15220166099615071</v>
          </cell>
          <cell r="M35">
            <v>3.2816910210516608</v>
          </cell>
          <cell r="R35">
            <v>0.30123482156313164</v>
          </cell>
          <cell r="S35">
            <v>6.495064526114664</v>
          </cell>
        </row>
        <row r="36">
          <cell r="I36">
            <v>0.15759385206031046</v>
          </cell>
          <cell r="J36">
            <v>3.2578656156934005</v>
          </cell>
          <cell r="L36">
            <v>0.14815245988404191</v>
          </cell>
          <cell r="M36">
            <v>3.0626880339970617</v>
          </cell>
          <cell r="R36">
            <v>0.30574631194435237</v>
          </cell>
          <cell r="S36">
            <v>6.3205536496904626</v>
          </cell>
        </row>
        <row r="37">
          <cell r="I37">
            <v>0.14300720870262346</v>
          </cell>
          <cell r="J37">
            <v>2.7171270782136263</v>
          </cell>
          <cell r="L37">
            <v>0.11149332264670427</v>
          </cell>
          <cell r="M37">
            <v>2.118365421937022</v>
          </cell>
          <cell r="R37">
            <v>0.25450053134932776</v>
          </cell>
          <cell r="S37">
            <v>4.8354925001506484</v>
          </cell>
        </row>
        <row r="38">
          <cell r="I38">
            <v>0.14599383084477527</v>
          </cell>
          <cell r="J38">
            <v>3.0796987116506411</v>
          </cell>
          <cell r="L38">
            <v>0.11013086523157171</v>
          </cell>
          <cell r="M38">
            <v>2.3231795604244176</v>
          </cell>
          <cell r="R38">
            <v>0.25612469607634697</v>
          </cell>
          <cell r="S38">
            <v>5.4028782720750588</v>
          </cell>
        </row>
        <row r="39">
          <cell r="I39">
            <v>0.14631187604335488</v>
          </cell>
          <cell r="J39">
            <v>2.9562040101144569</v>
          </cell>
          <cell r="L39">
            <v>9.1129424796145247E-2</v>
          </cell>
          <cell r="M39">
            <v>1.8412529338490682</v>
          </cell>
          <cell r="R39">
            <v>0.27813724658257077</v>
          </cell>
          <cell r="S39">
            <v>5.6197108939123117</v>
          </cell>
        </row>
        <row r="40">
          <cell r="I40">
            <v>0.15729940692890573</v>
          </cell>
          <cell r="J40">
            <v>3.2518823636639866</v>
          </cell>
          <cell r="L40">
            <v>0.10035999537172774</v>
          </cell>
          <cell r="M40">
            <v>2.0747624249735699</v>
          </cell>
          <cell r="R40">
            <v>0.42354277526630379</v>
          </cell>
          <cell r="S40">
            <v>8.7559852133981231</v>
          </cell>
        </row>
        <row r="41">
          <cell r="I41">
            <v>0.16644528137987405</v>
          </cell>
          <cell r="J41">
            <v>3.3695922178382429</v>
          </cell>
          <cell r="L41">
            <v>9.9650357292563052E-2</v>
          </cell>
          <cell r="M41">
            <v>2.0173661016648214</v>
          </cell>
          <cell r="R41">
            <v>0.46804755468895953</v>
          </cell>
          <cell r="S41">
            <v>9.4753626223785403</v>
          </cell>
        </row>
        <row r="42">
          <cell r="I42">
            <v>0.16801034787022034</v>
          </cell>
          <cell r="J42">
            <v>3.0136464842415078</v>
          </cell>
          <cell r="L42">
            <v>9.4711593567238891E-2</v>
          </cell>
          <cell r="M42">
            <v>1.6988671506787099</v>
          </cell>
          <cell r="R42">
            <v>0.48612709212335814</v>
          </cell>
          <cell r="S42">
            <v>8.7197914928654114</v>
          </cell>
        </row>
        <row r="43">
          <cell r="I43">
            <v>0.15816000991797824</v>
          </cell>
          <cell r="J43">
            <v>3.3314036034579444</v>
          </cell>
          <cell r="L43">
            <v>0.11119612273932244</v>
          </cell>
          <cell r="M43">
            <v>2.3421796962230865</v>
          </cell>
          <cell r="R43">
            <v>0.44269413429892096</v>
          </cell>
          <cell r="S43">
            <v>9.3246885543188043</v>
          </cell>
        </row>
        <row r="44">
          <cell r="I44">
            <v>0.1513462662313437</v>
          </cell>
          <cell r="J44">
            <v>3.0648934719150667</v>
          </cell>
          <cell r="L44">
            <v>0.10966853907940965</v>
          </cell>
          <cell r="M44">
            <v>2.2208832623935213</v>
          </cell>
          <cell r="R44">
            <v>0.28025381069122818</v>
          </cell>
          <cell r="S44">
            <v>5.6753833196908996</v>
          </cell>
        </row>
        <row r="45">
          <cell r="I45">
            <v>0.15118323208839576</v>
          </cell>
          <cell r="J45">
            <v>3.0412940158226123</v>
          </cell>
          <cell r="L45">
            <v>0.11405887425377381</v>
          </cell>
          <cell r="M45">
            <v>2.2944778129670094</v>
          </cell>
          <cell r="R45">
            <v>0.2652421063421696</v>
          </cell>
          <cell r="S45">
            <v>5.3357718287896221</v>
          </cell>
        </row>
        <row r="46">
          <cell r="I46">
            <v>0.14040257757485508</v>
          </cell>
          <cell r="J46">
            <v>2.854063334649537</v>
          </cell>
          <cell r="L46">
            <v>0.13214054448199694</v>
          </cell>
          <cell r="M46">
            <v>2.6861150951849462</v>
          </cell>
          <cell r="R46">
            <v>0.27254312205685199</v>
          </cell>
          <cell r="S46">
            <v>5.5401784298344836</v>
          </cell>
        </row>
        <row r="47">
          <cell r="I47">
            <v>0.13932099370098067</v>
          </cell>
          <cell r="J47">
            <v>2.9314495996913141</v>
          </cell>
          <cell r="L47">
            <v>0.17644823638015811</v>
          </cell>
          <cell r="M47">
            <v>3.7126429991807615</v>
          </cell>
          <cell r="R47">
            <v>0.31576923008113877</v>
          </cell>
          <cell r="S47">
            <v>6.644092598872076</v>
          </cell>
        </row>
        <row r="48">
          <cell r="I48">
            <v>0.14598560639279984</v>
          </cell>
          <cell r="J48">
            <v>3.1071489004960391</v>
          </cell>
          <cell r="L48">
            <v>0.18250835655995834</v>
          </cell>
          <cell r="M48">
            <v>3.8844969269832248</v>
          </cell>
          <cell r="R48">
            <v>0.32849396295275818</v>
          </cell>
          <cell r="S48">
            <v>6.9916458274792639</v>
          </cell>
        </row>
        <row r="49">
          <cell r="I49">
            <v>0.15072475660422552</v>
          </cell>
          <cell r="J49">
            <v>2.958829452845734</v>
          </cell>
          <cell r="L49">
            <v>0.13282080673508997</v>
          </cell>
          <cell r="M49">
            <v>2.6073627436695284</v>
          </cell>
          <cell r="R49">
            <v>0.28354556333931547</v>
          </cell>
          <cell r="S49">
            <v>5.5661921965152628</v>
          </cell>
        </row>
        <row r="50">
          <cell r="I50">
            <v>0.15568442066694907</v>
          </cell>
          <cell r="J50">
            <v>3.1553371056522015</v>
          </cell>
          <cell r="L50">
            <v>8.2558533002375811E-2</v>
          </cell>
          <cell r="M50">
            <v>1.6732567167262546</v>
          </cell>
          <cell r="R50">
            <v>0.23824295366932485</v>
          </cell>
          <cell r="S50">
            <v>4.8285938223784557</v>
          </cell>
        </row>
        <row r="51">
          <cell r="I51">
            <v>0.14639883797195066</v>
          </cell>
          <cell r="J51">
            <v>2.8447358455769427</v>
          </cell>
          <cell r="L51">
            <v>7.4591245639741607E-2</v>
          </cell>
          <cell r="M51">
            <v>1.4494130771602358</v>
          </cell>
          <cell r="R51">
            <v>0.28667866761719496</v>
          </cell>
          <cell r="S51">
            <v>5.5705707315048718</v>
          </cell>
        </row>
        <row r="52">
          <cell r="I52">
            <v>0.16027843609373554</v>
          </cell>
          <cell r="J52">
            <v>3.3011741871633409</v>
          </cell>
          <cell r="L52">
            <v>9.2235697135602437E-2</v>
          </cell>
          <cell r="M52">
            <v>1.8997321782014025</v>
          </cell>
          <cell r="R52">
            <v>0.45916263439952587</v>
          </cell>
          <cell r="S52">
            <v>9.4571414179706803</v>
          </cell>
        </row>
        <row r="53">
          <cell r="I53">
            <v>0.17670789359357136</v>
          </cell>
          <cell r="J53">
            <v>3.4572340509816355</v>
          </cell>
          <cell r="L53">
            <v>8.86529330623574E-2</v>
          </cell>
          <cell r="M53">
            <v>1.7344665972167295</v>
          </cell>
          <cell r="R53">
            <v>0.47192174132225734</v>
          </cell>
          <cell r="S53">
            <v>9.2329996148921936</v>
          </cell>
        </row>
        <row r="54">
          <cell r="I54">
            <v>0.17294171288959442</v>
          </cell>
          <cell r="J54">
            <v>2.9831290652824687</v>
          </cell>
          <cell r="L54">
            <v>7.1896501485063213E-2</v>
          </cell>
          <cell r="M54">
            <v>1.2401666416310886</v>
          </cell>
          <cell r="R54">
            <v>0.41865493927190761</v>
          </cell>
          <cell r="S54">
            <v>7.2215181450376305</v>
          </cell>
        </row>
        <row r="55">
          <cell r="I55">
            <v>0.15552983694489267</v>
          </cell>
          <cell r="J55">
            <v>3.2203048110547652</v>
          </cell>
          <cell r="L55">
            <v>7.6538524354387252E-2</v>
          </cell>
          <cell r="M55">
            <v>1.5847594458470207</v>
          </cell>
          <cell r="R55">
            <v>0.31511587248360706</v>
          </cell>
          <cell r="S55">
            <v>6.5245947667149728</v>
          </cell>
        </row>
        <row r="56">
          <cell r="I56">
            <v>0.14662129940231022</v>
          </cell>
          <cell r="J56">
            <v>2.9612674561784686</v>
          </cell>
          <cell r="L56">
            <v>8.2549453485209603E-2</v>
          </cell>
          <cell r="M56">
            <v>1.6672271431746553</v>
          </cell>
          <cell r="R56">
            <v>0.31430990409275694</v>
          </cell>
          <cell r="S56">
            <v>6.3480251091663105</v>
          </cell>
        </row>
        <row r="57">
          <cell r="I57">
            <v>0.1400748559529435</v>
          </cell>
          <cell r="J57">
            <v>2.8954726112956344</v>
          </cell>
          <cell r="L57">
            <v>8.6700199908600645E-2</v>
          </cell>
          <cell r="M57">
            <v>1.7921707113055516</v>
          </cell>
          <cell r="R57">
            <v>0.22677505586154414</v>
          </cell>
          <cell r="S57">
            <v>4.6876433226011862</v>
          </cell>
        </row>
        <row r="58">
          <cell r="I58">
            <v>0.14086908302811607</v>
          </cell>
          <cell r="J58">
            <v>2.6671761484799212</v>
          </cell>
          <cell r="L58">
            <v>9.8950287879223109E-2</v>
          </cell>
          <cell r="M58">
            <v>1.8734973071700221</v>
          </cell>
          <cell r="R58">
            <v>0.23981937090733915</v>
          </cell>
          <cell r="S58">
            <v>4.5406734556499426</v>
          </cell>
        </row>
        <row r="59">
          <cell r="I59">
            <v>0.14559095112149242</v>
          </cell>
          <cell r="J59">
            <v>3.1996986813026691</v>
          </cell>
          <cell r="L59">
            <v>0.11055704080465124</v>
          </cell>
          <cell r="M59">
            <v>2.429747281314016</v>
          </cell>
          <cell r="R59">
            <v>0.25614799192614368</v>
          </cell>
          <cell r="S59">
            <v>5.6294459626166846</v>
          </cell>
        </row>
        <row r="60">
          <cell r="I60">
            <v>0.14653456951370478</v>
          </cell>
          <cell r="J60">
            <v>3.0353943502136582</v>
          </cell>
          <cell r="L60">
            <v>9.9072481417986871E-2</v>
          </cell>
          <cell r="M60">
            <v>2.0522396275213373</v>
          </cell>
          <cell r="R60">
            <v>0.24560705093169163</v>
          </cell>
          <cell r="S60">
            <v>5.0876339777349955</v>
          </cell>
        </row>
        <row r="61">
          <cell r="I61">
            <v>0.15481536378966937</v>
          </cell>
          <cell r="J61">
            <v>3.0013256619746085</v>
          </cell>
          <cell r="L61">
            <v>9.0478772147772057E-2</v>
          </cell>
          <cell r="M61">
            <v>1.7540653205452874</v>
          </cell>
          <cell r="R61">
            <v>0.24529413593744143</v>
          </cell>
          <cell r="S61">
            <v>4.7553909825198959</v>
          </cell>
        </row>
        <row r="62">
          <cell r="I62">
            <v>0.15048450882168993</v>
          </cell>
          <cell r="J62">
            <v>2.9654859437004295</v>
          </cell>
          <cell r="L62">
            <v>7.1378100531794997E-2</v>
          </cell>
          <cell r="M62">
            <v>1.4065949742766164</v>
          </cell>
          <cell r="R62">
            <v>0.2218626093534849</v>
          </cell>
          <cell r="S62">
            <v>4.3720809179770459</v>
          </cell>
        </row>
        <row r="63">
          <cell r="I63">
            <v>0.14935068203670668</v>
          </cell>
          <cell r="J63">
            <v>2.9781046207238591</v>
          </cell>
          <cell r="L63">
            <v>4.3452918971960991E-2</v>
          </cell>
          <cell r="M63">
            <v>0.86646633955465546</v>
          </cell>
          <cell r="R63">
            <v>0.26763825621486914</v>
          </cell>
          <cell r="S63">
            <v>5.3368000510374749</v>
          </cell>
        </row>
        <row r="64">
          <cell r="I64">
            <v>0.15291539297797796</v>
          </cell>
          <cell r="J64">
            <v>3.0988045245686133</v>
          </cell>
          <cell r="L64">
            <v>3.2531491724105292E-2</v>
          </cell>
          <cell r="M64">
            <v>0.65924516677102485</v>
          </cell>
          <cell r="R64">
            <v>0.32354912438684313</v>
          </cell>
          <cell r="S64">
            <v>6.5566681747635025</v>
          </cell>
        </row>
        <row r="65">
          <cell r="I65">
            <v>0.14988140458283442</v>
          </cell>
          <cell r="J65">
            <v>3.0830070119237885</v>
          </cell>
          <cell r="L65">
            <v>3.7080145430166543E-2</v>
          </cell>
          <cell r="M65">
            <v>0.7627253606445713</v>
          </cell>
          <cell r="R65">
            <v>0.34021441718312223</v>
          </cell>
          <cell r="S65">
            <v>6.9980891669149541</v>
          </cell>
        </row>
        <row r="66">
          <cell r="I66">
            <v>0.15608299886756233</v>
          </cell>
          <cell r="J66">
            <v>2.948694566169749</v>
          </cell>
          <cell r="L66">
            <v>7.0135945650412715E-2</v>
          </cell>
          <cell r="M66">
            <v>1.3249968499646034</v>
          </cell>
          <cell r="R66">
            <v>0.5086981430441555</v>
          </cell>
          <cell r="S66">
            <v>9.6102423780805317</v>
          </cell>
        </row>
        <row r="67">
          <cell r="I67">
            <v>0.1817370279848024</v>
          </cell>
          <cell r="J67">
            <v>3.6678974243584488</v>
          </cell>
          <cell r="L67">
            <v>9.0603590349988772E-2</v>
          </cell>
          <cell r="M67">
            <v>1.8286019055519176</v>
          </cell>
          <cell r="R67">
            <v>0.34493417589383873</v>
          </cell>
          <cell r="S67">
            <v>6.9616147538189912</v>
          </cell>
        </row>
        <row r="68">
          <cell r="I68">
            <v>0.14688107499783654</v>
          </cell>
          <cell r="J68">
            <v>2.9162666240965156</v>
          </cell>
          <cell r="L68">
            <v>9.7683362947590918E-2</v>
          </cell>
          <cell r="M68">
            <v>1.9394651836375898</v>
          </cell>
          <cell r="R68">
            <v>0.28859435743129708</v>
          </cell>
          <cell r="S68">
            <v>5.729928736509236</v>
          </cell>
        </row>
        <row r="69">
          <cell r="I69">
            <v>0.13834687385618732</v>
          </cell>
          <cell r="J69">
            <v>2.8450648073635869</v>
          </cell>
          <cell r="L69">
            <v>0.14347699037831405</v>
          </cell>
          <cell r="M69">
            <v>2.950564220309841</v>
          </cell>
          <cell r="R69">
            <v>0.29154212628163223</v>
          </cell>
          <cell r="S69">
            <v>5.9954823714343464</v>
          </cell>
        </row>
        <row r="70">
          <cell r="I70">
            <v>0.14820297139476643</v>
          </cell>
          <cell r="J70">
            <v>2.9280274291277384</v>
          </cell>
          <cell r="L70">
            <v>0.16968639021772061</v>
          </cell>
          <cell r="M70">
            <v>3.3524726274462817</v>
          </cell>
          <cell r="R70">
            <v>0.31788936161248699</v>
          </cell>
          <cell r="S70">
            <v>6.2805000565740201</v>
          </cell>
        </row>
        <row r="71">
          <cell r="I71">
            <v>0.15012469247649612</v>
          </cell>
          <cell r="J71">
            <v>2.9435872782225441</v>
          </cell>
          <cell r="L71">
            <v>0.18082822431565945</v>
          </cell>
          <cell r="M71">
            <v>3.5456103313749225</v>
          </cell>
          <cell r="R71">
            <v>0.3309529167921556</v>
          </cell>
          <cell r="S71">
            <v>6.4891976095974666</v>
          </cell>
        </row>
        <row r="72">
          <cell r="I72">
            <v>0.156499740325488</v>
          </cell>
          <cell r="J72">
            <v>3.1538611440440874</v>
          </cell>
          <cell r="L72">
            <v>0.17739503681351934</v>
          </cell>
          <cell r="M72">
            <v>3.5749536234937178</v>
          </cell>
          <cell r="R72">
            <v>0.33389477713900728</v>
          </cell>
          <cell r="S72">
            <v>6.7288147675378047</v>
          </cell>
        </row>
        <row r="73">
          <cell r="I73">
            <v>0.15956402905473027</v>
          </cell>
          <cell r="J73">
            <v>3.1005011185759663</v>
          </cell>
          <cell r="L73">
            <v>0.18926987110125615</v>
          </cell>
          <cell r="M73">
            <v>3.6777176569093224</v>
          </cell>
          <cell r="R73">
            <v>0.34883390015598637</v>
          </cell>
          <cell r="S73">
            <v>6.7782187754852883</v>
          </cell>
        </row>
        <row r="74">
          <cell r="I74">
            <v>0.15726402482248159</v>
          </cell>
          <cell r="J74">
            <v>3.1835212719194637</v>
          </cell>
          <cell r="L74">
            <v>0.12792206805520781</v>
          </cell>
          <cell r="M74">
            <v>2.589547261437418</v>
          </cell>
          <cell r="R74">
            <v>0.2983717296988096</v>
          </cell>
          <cell r="S74">
            <v>6.0399875273939712</v>
          </cell>
        </row>
        <row r="75">
          <cell r="I75">
            <v>0.17502059595281966</v>
          </cell>
          <cell r="J75">
            <v>3.5891289955353129</v>
          </cell>
          <cell r="L75">
            <v>0.1003517341394187</v>
          </cell>
          <cell r="M75">
            <v>2.0579024816549656</v>
          </cell>
          <cell r="R75">
            <v>0.38219010943455417</v>
          </cell>
          <cell r="S75">
            <v>7.8375324693109274</v>
          </cell>
        </row>
        <row r="76">
          <cell r="I76">
            <v>0.15671542503130242</v>
          </cell>
          <cell r="J76">
            <v>3.1094575707587304</v>
          </cell>
          <cell r="L76">
            <v>4.5883043139988117E-2</v>
          </cell>
          <cell r="M76">
            <v>0.91038502325210302</v>
          </cell>
          <cell r="R76">
            <v>0.36011199893748713</v>
          </cell>
          <cell r="S76">
            <v>7.1451357209640918</v>
          </cell>
        </row>
      </sheetData>
      <sheetData sheetId="7">
        <row r="8">
          <cell r="C8" t="str">
            <v>JAN</v>
          </cell>
        </row>
      </sheetData>
      <sheetData sheetId="8">
        <row r="8">
          <cell r="C8" t="str">
            <v>JAN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68.522715921836337</v>
          </cell>
        </row>
        <row r="53">
          <cell r="Y53">
            <v>953637.59999999986</v>
          </cell>
        </row>
      </sheetData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66.322339011719222</v>
          </cell>
        </row>
        <row r="53">
          <cell r="Y53">
            <v>898842.69999999984</v>
          </cell>
        </row>
      </sheetData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68.918084677617543</v>
          </cell>
        </row>
        <row r="53">
          <cell r="Y53">
            <v>841216.4</v>
          </cell>
        </row>
      </sheetData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70.195856271862354</v>
          </cell>
        </row>
        <row r="53">
          <cell r="Y53">
            <v>855091.79999999981</v>
          </cell>
        </row>
      </sheetData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70.168844063031443</v>
          </cell>
        </row>
        <row r="53">
          <cell r="Y53">
            <v>865249.6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68.816700105310318</v>
          </cell>
        </row>
        <row r="53">
          <cell r="Y53">
            <v>879329.49999999977</v>
          </cell>
        </row>
      </sheetData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69.159867158685628</v>
          </cell>
        </row>
        <row r="53">
          <cell r="Y53">
            <v>892555.89999999979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70.314543692499498</v>
          </cell>
        </row>
        <row r="53">
          <cell r="Y53">
            <v>819752.70000000007</v>
          </cell>
        </row>
      </sheetData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69.457742211364575</v>
          </cell>
        </row>
        <row r="53">
          <cell r="Y53">
            <v>875754.59999999986</v>
          </cell>
        </row>
      </sheetData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69.591838941480631</v>
          </cell>
        </row>
        <row r="53">
          <cell r="Y53">
            <v>861529.3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681889</v>
          </cell>
          <cell r="Y53">
            <v>756236.49999999988</v>
          </cell>
        </row>
        <row r="56">
          <cell r="Y56">
            <v>43391.900000000009</v>
          </cell>
        </row>
      </sheetData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69.547498570652579</v>
          </cell>
        </row>
        <row r="53">
          <cell r="Y53">
            <v>892342.29999999981</v>
          </cell>
        </row>
      </sheetData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69.426120892191861</v>
          </cell>
        </row>
        <row r="53">
          <cell r="Y53">
            <v>857288.3</v>
          </cell>
        </row>
      </sheetData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68.081953691997271</v>
          </cell>
        </row>
        <row r="53">
          <cell r="Y53">
            <v>850811.69999999984</v>
          </cell>
        </row>
      </sheetData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64.082663371319256</v>
          </cell>
        </row>
        <row r="53">
          <cell r="Y53">
            <v>874455.29999999981</v>
          </cell>
        </row>
      </sheetData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69.215803080794672</v>
          </cell>
        </row>
        <row r="53">
          <cell r="Y53">
            <v>843151.4</v>
          </cell>
        </row>
      </sheetData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69.440219030250788</v>
          </cell>
        </row>
        <row r="53">
          <cell r="Y53">
            <v>878389.29999999981</v>
          </cell>
        </row>
      </sheetData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9">
          <cell r="I49">
            <v>70.10451895760221</v>
          </cell>
        </row>
        <row r="53">
          <cell r="Y53">
            <v>889833.1399999999</v>
          </cell>
        </row>
      </sheetData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">
          <cell r="AJ4">
            <v>253</v>
          </cell>
        </row>
        <row r="49">
          <cell r="I49">
            <v>68.503418542417606</v>
          </cell>
        </row>
        <row r="53">
          <cell r="Y53">
            <v>860957.18999999983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742985.20000000007</v>
          </cell>
          <cell r="Y53">
            <v>746263.09999999974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53">
          <cell r="I53">
            <v>707285.5</v>
          </cell>
          <cell r="Y53">
            <v>760027.5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W69"/>
  <sheetViews>
    <sheetView tabSelected="1" zoomScaleNormal="100" workbookViewId="0">
      <selection activeCell="F8" sqref="F8"/>
    </sheetView>
  </sheetViews>
  <sheetFormatPr defaultRowHeight="15" x14ac:dyDescent="0.25"/>
  <cols>
    <col min="1" max="1" width="9.140625" style="2"/>
    <col min="2" max="2" width="10.5703125" style="2" bestFit="1" customWidth="1"/>
    <col min="3" max="3" width="12.42578125" style="2" bestFit="1" customWidth="1"/>
    <col min="4" max="16" width="9.140625" style="2"/>
    <col min="17" max="17" width="11.5703125" style="2" bestFit="1" customWidth="1"/>
    <col min="18" max="18" width="10.5703125" style="2" bestFit="1" customWidth="1"/>
    <col min="19" max="16384" width="9.140625" style="2"/>
  </cols>
  <sheetData>
    <row r="2" spans="1:2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.75" thickBot="1" x14ac:dyDescent="0.3">
      <c r="A3" s="3" t="s">
        <v>54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1"/>
    </row>
    <row r="4" spans="1:23" ht="15.75" thickBot="1" x14ac:dyDescent="0.3">
      <c r="A4" s="6" t="s">
        <v>55</v>
      </c>
      <c r="B4" s="6" t="s">
        <v>56</v>
      </c>
      <c r="C4" s="6" t="s">
        <v>57</v>
      </c>
      <c r="D4" s="7" t="s">
        <v>25</v>
      </c>
      <c r="E4" s="7" t="s">
        <v>28</v>
      </c>
      <c r="F4" s="7" t="s">
        <v>30</v>
      </c>
      <c r="G4" s="8" t="s">
        <v>32</v>
      </c>
      <c r="H4" s="8" t="s">
        <v>34</v>
      </c>
      <c r="I4" s="8" t="s">
        <v>36</v>
      </c>
      <c r="J4" s="8" t="s">
        <v>38</v>
      </c>
      <c r="K4" s="8" t="s">
        <v>40</v>
      </c>
      <c r="L4" s="8" t="s">
        <v>42</v>
      </c>
      <c r="M4" s="8" t="s">
        <v>44</v>
      </c>
      <c r="N4" s="8" t="s">
        <v>46</v>
      </c>
      <c r="O4" s="9" t="s">
        <v>48</v>
      </c>
      <c r="P4" s="1"/>
      <c r="S4" s="10"/>
    </row>
    <row r="5" spans="1:23" x14ac:dyDescent="0.25">
      <c r="A5" s="11" t="s">
        <v>51</v>
      </c>
      <c r="B5" s="11" t="s">
        <v>13</v>
      </c>
      <c r="C5" s="12" t="s">
        <v>58</v>
      </c>
      <c r="D5" s="13">
        <f>[1]Tabelas_Consumos!B6</f>
        <v>123023.90638554505</v>
      </c>
      <c r="E5" s="14">
        <f>[1]Tabelas_Consumos!C6</f>
        <v>105803.47867990425</v>
      </c>
      <c r="F5" s="14">
        <f>[1]Tabelas_Consumos!D6</f>
        <v>121642.77483039761</v>
      </c>
      <c r="G5" s="14">
        <f>[1]Tabelas_Consumos!E6</f>
        <v>113520.48925761247</v>
      </c>
      <c r="H5" s="14">
        <f>[1]Tabelas_Consumos!F6</f>
        <v>116824.40921799744</v>
      </c>
      <c r="I5" s="14">
        <f>[1]Tabelas_Consumos!G6</f>
        <v>107549.18069356021</v>
      </c>
      <c r="J5" s="14">
        <f>[1]Tabelas_Consumos!H6</f>
        <v>110791.54941777157</v>
      </c>
      <c r="K5" s="14">
        <f>[1]Tabelas_Consumos!I6</f>
        <v>103463.65122517012</v>
      </c>
      <c r="L5" s="14">
        <f>[1]Tabelas_Consumos!J6</f>
        <v>116583.19367769077</v>
      </c>
      <c r="M5" s="14">
        <f>[1]Tabelas_Consumos!K6</f>
        <v>125332.34140434962</v>
      </c>
      <c r="N5" s="14">
        <f>[1]Tabelas_Consumos!L6</f>
        <v>120234.26267127556</v>
      </c>
      <c r="O5" s="15">
        <f>[1]Tabelas_Consumos!M6</f>
        <v>122674.89442877812</v>
      </c>
      <c r="P5" s="1"/>
      <c r="S5" s="10"/>
    </row>
    <row r="6" spans="1:23" x14ac:dyDescent="0.25">
      <c r="A6" s="16"/>
      <c r="B6" s="16"/>
      <c r="C6" s="17" t="s">
        <v>59</v>
      </c>
      <c r="D6" s="18">
        <f>[1]Tabelas_Consumos!B7</f>
        <v>127222.89832659526</v>
      </c>
      <c r="E6" s="19">
        <f>[1]Tabelas_Consumos!C7</f>
        <v>117675.19048568539</v>
      </c>
      <c r="F6" s="19">
        <f>[1]Tabelas_Consumos!D7</f>
        <v>123286.89933177436</v>
      </c>
      <c r="G6" s="19">
        <f>[1]Tabelas_Consumos!E7</f>
        <v>120535.92820511451</v>
      </c>
      <c r="H6" s="19">
        <f>[1]Tabelas_Consumos!F7</f>
        <v>119032.74928106251</v>
      </c>
      <c r="I6" s="19">
        <f>[1]Tabelas_Consumos!G7</f>
        <v>118761.55746091536</v>
      </c>
      <c r="J6" s="19">
        <f>[1]Tabelas_Consumos!H7</f>
        <v>119380.4411876185</v>
      </c>
      <c r="K6" s="19">
        <f>[1]Tabelas_Consumos!I7</f>
        <v>105297.19488331745</v>
      </c>
      <c r="L6" s="19">
        <f>[1]Tabelas_Consumos!J7</f>
        <v>114891.09680831496</v>
      </c>
      <c r="M6" s="19">
        <f>[1]Tabelas_Consumos!K7</f>
        <v>123261.4185862935</v>
      </c>
      <c r="N6" s="19">
        <f>[1]Tabelas_Consumos!L7</f>
        <v>118338.15607373876</v>
      </c>
      <c r="O6" s="20">
        <f>[1]Tabelas_Consumos!M7</f>
        <v>123674.05484478688</v>
      </c>
      <c r="P6" s="1"/>
    </row>
    <row r="7" spans="1:23" x14ac:dyDescent="0.25">
      <c r="A7" s="16"/>
      <c r="B7" s="16"/>
      <c r="C7" s="17" t="s">
        <v>60</v>
      </c>
      <c r="D7" s="18">
        <f>[2]Tabelas_Consumos!B6</f>
        <v>127534.18285780319</v>
      </c>
      <c r="E7" s="19">
        <f>[2]Tabelas_Consumos!C6</f>
        <v>110075.21511869688</v>
      </c>
      <c r="F7" s="19">
        <f>[2]Tabelas_Consumos!D6</f>
        <v>120489.53730060629</v>
      </c>
      <c r="G7" s="19">
        <f>[2]Tabelas_Consumos!E6</f>
        <v>119592.839036554</v>
      </c>
      <c r="H7" s="19">
        <f>[2]Tabelas_Consumos!F6</f>
        <v>118119.07647772707</v>
      </c>
      <c r="I7" s="19">
        <f>[2]Tabelas_Consumos!G6</f>
        <v>109824.7225121947</v>
      </c>
      <c r="J7" s="19">
        <f>[2]Tabelas_Consumos!H6</f>
        <v>111411.34801694767</v>
      </c>
      <c r="K7" s="19">
        <f>[2]Tabelas_Consumos!I6</f>
        <v>95706.615719578607</v>
      </c>
      <c r="L7" s="19">
        <f>[2]Tabelas_Consumos!J6</f>
        <v>106529.92297373408</v>
      </c>
      <c r="M7" s="19">
        <f>[2]Tabelas_Consumos!K6</f>
        <v>109268.62644499465</v>
      </c>
      <c r="N7" s="19">
        <f>[2]Tabelas_Consumos!L6</f>
        <v>110544.94759604581</v>
      </c>
      <c r="O7" s="20">
        <f>[2]Tabelas_Consumos!M6</f>
        <v>111769.63739115441</v>
      </c>
      <c r="P7" s="1"/>
    </row>
    <row r="8" spans="1:23" x14ac:dyDescent="0.25">
      <c r="A8" s="16"/>
      <c r="B8" s="16"/>
      <c r="C8" s="17">
        <v>10</v>
      </c>
      <c r="D8" s="18">
        <f>[2]Tabelas_Consumos!B7</f>
        <v>114214.43025196025</v>
      </c>
      <c r="E8" s="19">
        <f>[2]Tabelas_Consumos!C7</f>
        <v>104887.44122405455</v>
      </c>
      <c r="F8" s="19">
        <f>[2]Tabelas_Consumos!D7</f>
        <v>120088.79361382684</v>
      </c>
      <c r="G8" s="19">
        <f>[2]Tabelas_Consumos!E7</f>
        <v>110481.76786959523</v>
      </c>
      <c r="H8" s="19">
        <f>[2]Tabelas_Consumos!F7</f>
        <v>114041.084766917</v>
      </c>
      <c r="I8" s="19">
        <f>[2]Tabelas_Consumos!G7</f>
        <v>103736.90507981859</v>
      </c>
      <c r="J8" s="19">
        <f>[2]Tabelas_Consumos!H7</f>
        <v>111515.93454484755</v>
      </c>
      <c r="K8" s="19">
        <f>[2]Tabelas_Consumos!I7</f>
        <v>92632.122581135161</v>
      </c>
      <c r="L8" s="19">
        <f>[2]Tabelas_Consumos!J7</f>
        <v>101550.18815111333</v>
      </c>
      <c r="M8" s="19">
        <f>[2]Tabelas_Consumos!K7</f>
        <v>109709.59246041346</v>
      </c>
      <c r="N8" s="19">
        <f>[2]Tabelas_Consumos!L7</f>
        <v>128813.46146805643</v>
      </c>
      <c r="O8" s="20">
        <f>[2]Tabelas_Consumos!M7</f>
        <v>105609.2670943858</v>
      </c>
      <c r="P8" s="1"/>
    </row>
    <row r="9" spans="1:23" x14ac:dyDescent="0.25">
      <c r="A9" s="16"/>
      <c r="B9" s="16"/>
      <c r="C9" s="17">
        <v>11</v>
      </c>
      <c r="D9" s="18">
        <f>[3]Tabelas_Consumos!B6</f>
        <v>107477.60549332235</v>
      </c>
      <c r="E9" s="19">
        <f>[3]Tabelas_Consumos!C6</f>
        <v>95716.268494025484</v>
      </c>
      <c r="F9" s="19">
        <f>[3]Tabelas_Consumos!D6</f>
        <v>104305.51243212511</v>
      </c>
      <c r="G9" s="19">
        <f>[3]Tabelas_Consumos!E6</f>
        <v>100194.20631868737</v>
      </c>
      <c r="H9" s="19">
        <f>[3]Tabelas_Consumos!F6</f>
        <v>104186.83860065979</v>
      </c>
      <c r="I9" s="19">
        <f>[3]Tabelas_Consumos!G6</f>
        <v>101061.09400405805</v>
      </c>
      <c r="J9" s="19">
        <f>[3]Tabelas_Consumos!H6</f>
        <v>98711.818538541949</v>
      </c>
      <c r="K9" s="19">
        <f>[3]Tabelas_Consumos!I6</f>
        <v>92419.752284148271</v>
      </c>
      <c r="L9" s="19">
        <f>[3]Tabelas_Consumos!J6</f>
        <v>99628.828707465742</v>
      </c>
      <c r="M9" s="19">
        <f>[3]Tabelas_Consumos!K6</f>
        <v>108287.06223028527</v>
      </c>
      <c r="N9" s="19">
        <f>[3]Tabelas_Consumos!L6</f>
        <v>102885.19718868876</v>
      </c>
      <c r="O9" s="20">
        <f>[3]Tabelas_Consumos!M6</f>
        <v>101124.67324967906</v>
      </c>
      <c r="P9" s="1"/>
    </row>
    <row r="10" spans="1:23" ht="15.75" thickBot="1" x14ac:dyDescent="0.3">
      <c r="A10" s="16"/>
      <c r="B10" s="21"/>
      <c r="C10" s="22">
        <v>12</v>
      </c>
      <c r="D10" s="23">
        <f>[3]Tabelas_Consumos!B7</f>
        <v>102084.16939617167</v>
      </c>
      <c r="E10" s="24">
        <f>[3]Tabelas_Consumos!C7</f>
        <v>95825.384622570142</v>
      </c>
      <c r="F10" s="24">
        <f>[3]Tabelas_Consumos!D7</f>
        <v>100668.95974131358</v>
      </c>
      <c r="G10" s="24">
        <f>[3]Tabelas_Consumos!E7</f>
        <v>99128.59580209585</v>
      </c>
      <c r="H10" s="24">
        <f>[3]Tabelas_Consumos!F7</f>
        <v>100930.7997317978</v>
      </c>
      <c r="I10" s="24">
        <f>[3]Tabelas_Consumos!G7</f>
        <v>93370.232719600055</v>
      </c>
      <c r="J10" s="24">
        <f>[3]Tabelas_Consumos!H7</f>
        <v>91202.074731917513</v>
      </c>
      <c r="K10" s="24">
        <f>[3]Tabelas_Consumos!I7</f>
        <v>73963.293922081488</v>
      </c>
      <c r="L10" s="24">
        <f>[3]Tabelas_Consumos!J7</f>
        <v>91480.52804874345</v>
      </c>
      <c r="M10" s="24">
        <f>[3]Tabelas_Consumos!K7</f>
        <v>101904.55278989873</v>
      </c>
      <c r="N10" s="24">
        <f>[3]Tabelas_Consumos!L7</f>
        <v>108065.54092847316</v>
      </c>
      <c r="O10" s="25">
        <f>[3]Tabelas_Consumos!M7</f>
        <v>109538.80743228427</v>
      </c>
      <c r="P10" s="1"/>
      <c r="Q10" s="26"/>
      <c r="R10" s="26"/>
      <c r="S10" s="26"/>
      <c r="T10" s="26"/>
      <c r="U10" s="26"/>
      <c r="V10" s="26"/>
      <c r="W10" s="26"/>
    </row>
    <row r="11" spans="1:23" x14ac:dyDescent="0.25">
      <c r="A11" s="16"/>
      <c r="B11" s="11" t="s">
        <v>16</v>
      </c>
      <c r="C11" s="12" t="s">
        <v>58</v>
      </c>
      <c r="D11" s="13">
        <f>[1]Tabelas_Consumos!B21</f>
        <v>94317.300621005721</v>
      </c>
      <c r="E11" s="14">
        <f>[1]Tabelas_Consumos!C21</f>
        <v>73482.562446293887</v>
      </c>
      <c r="F11" s="14">
        <f>[1]Tabelas_Consumos!D21</f>
        <v>94006.131547536352</v>
      </c>
      <c r="G11" s="14">
        <f>[1]Tabelas_Consumos!E21</f>
        <v>93333.091446967504</v>
      </c>
      <c r="H11" s="14">
        <f>[1]Tabelas_Consumos!F21</f>
        <v>100332.92347234921</v>
      </c>
      <c r="I11" s="14">
        <f>[1]Tabelas_Consumos!G21</f>
        <v>105282.03100649033</v>
      </c>
      <c r="J11" s="14">
        <f>[1]Tabelas_Consumos!H21</f>
        <v>100515.09688748872</v>
      </c>
      <c r="K11" s="14">
        <f>[1]Tabelas_Consumos!I21</f>
        <v>86619.330022286886</v>
      </c>
      <c r="L11" s="14">
        <f>[1]Tabelas_Consumos!J21</f>
        <v>89463.831886962987</v>
      </c>
      <c r="M11" s="14">
        <f>[1]Tabelas_Consumos!K21</f>
        <v>90847.199802981209</v>
      </c>
      <c r="N11" s="14">
        <f>[1]Tabelas_Consumos!L21</f>
        <v>65196.811537633665</v>
      </c>
      <c r="O11" s="15">
        <f>[1]Tabelas_Consumos!M21</f>
        <v>58817.427778910744</v>
      </c>
      <c r="P11" s="27"/>
      <c r="Q11" s="28"/>
      <c r="R11" s="29"/>
      <c r="S11" s="26"/>
      <c r="T11" s="26"/>
      <c r="U11" s="26"/>
      <c r="V11" s="26"/>
      <c r="W11" s="26"/>
    </row>
    <row r="12" spans="1:23" x14ac:dyDescent="0.25">
      <c r="A12" s="16"/>
      <c r="B12" s="16"/>
      <c r="C12" s="17" t="s">
        <v>59</v>
      </c>
      <c r="D12" s="18">
        <f>[1]Tabelas_Consumos!B22</f>
        <v>58587.459000702373</v>
      </c>
      <c r="E12" s="19">
        <f>[1]Tabelas_Consumos!C22</f>
        <v>55446.657933881652</v>
      </c>
      <c r="F12" s="19">
        <f>[1]Tabelas_Consumos!D22</f>
        <v>64216.748762515854</v>
      </c>
      <c r="G12" s="19">
        <f>[1]Tabelas_Consumos!E22</f>
        <v>58568.759790757074</v>
      </c>
      <c r="H12" s="19">
        <f>[1]Tabelas_Consumos!F22</f>
        <v>59806.546089831725</v>
      </c>
      <c r="I12" s="19">
        <f>[1]Tabelas_Consumos!G22</f>
        <v>82401.24196380745</v>
      </c>
      <c r="J12" s="19">
        <f>[1]Tabelas_Consumos!H22</f>
        <v>91654.549073220725</v>
      </c>
      <c r="K12" s="19">
        <f>[1]Tabelas_Consumos!I22</f>
        <v>81539.140201469214</v>
      </c>
      <c r="L12" s="19">
        <f>[1]Tabelas_Consumos!J22</f>
        <v>97235.627417584241</v>
      </c>
      <c r="M12" s="19">
        <f>[1]Tabelas_Consumos!K22</f>
        <v>61284.328760949531</v>
      </c>
      <c r="N12" s="19">
        <f>[1]Tabelas_Consumos!L22</f>
        <v>54674.780801369459</v>
      </c>
      <c r="O12" s="20">
        <f>[1]Tabelas_Consumos!M22</f>
        <v>46244.855580621806</v>
      </c>
      <c r="P12" s="30"/>
      <c r="Q12" s="28"/>
      <c r="R12" s="31"/>
      <c r="S12" s="26"/>
      <c r="T12" s="26"/>
      <c r="U12" s="26"/>
      <c r="V12" s="26"/>
      <c r="W12" s="26"/>
    </row>
    <row r="13" spans="1:23" x14ac:dyDescent="0.25">
      <c r="A13" s="16"/>
      <c r="B13" s="16"/>
      <c r="C13" s="17" t="s">
        <v>60</v>
      </c>
      <c r="D13" s="18">
        <f>[2]Tabelas_Consumos!B21</f>
        <v>43879.118642852292</v>
      </c>
      <c r="E13" s="19">
        <f>[2]Tabelas_Consumos!C21</f>
        <v>48861.969961270748</v>
      </c>
      <c r="F13" s="19">
        <f>[2]Tabelas_Consumos!D21</f>
        <v>54060.112197618299</v>
      </c>
      <c r="G13" s="19">
        <f>[2]Tabelas_Consumos!E21</f>
        <v>50943.917761671713</v>
      </c>
      <c r="H13" s="19">
        <f>[2]Tabelas_Consumos!F21</f>
        <v>61777.362598175809</v>
      </c>
      <c r="I13" s="19">
        <f>[2]Tabelas_Consumos!G21</f>
        <v>86045.005646365418</v>
      </c>
      <c r="J13" s="19">
        <f>[2]Tabelas_Consumos!H21</f>
        <v>82999.603238863332</v>
      </c>
      <c r="K13" s="19">
        <f>[2]Tabelas_Consumos!I21</f>
        <v>80152.733248874749</v>
      </c>
      <c r="L13" s="19">
        <f>[2]Tabelas_Consumos!J21</f>
        <v>78886.721991056969</v>
      </c>
      <c r="M13" s="19">
        <f>[2]Tabelas_Consumos!K21</f>
        <v>71243.499348577301</v>
      </c>
      <c r="N13" s="19">
        <f>[2]Tabelas_Consumos!L21</f>
        <v>53523.511490512908</v>
      </c>
      <c r="O13" s="20">
        <f>[2]Tabelas_Consumos!M21</f>
        <v>48298.826009296034</v>
      </c>
      <c r="P13" s="30"/>
      <c r="Q13" s="32"/>
      <c r="R13" s="33"/>
      <c r="S13" s="34"/>
      <c r="T13" s="26"/>
      <c r="U13" s="26"/>
      <c r="V13" s="26"/>
      <c r="W13" s="10"/>
    </row>
    <row r="14" spans="1:23" x14ac:dyDescent="0.25">
      <c r="A14" s="16"/>
      <c r="B14" s="16"/>
      <c r="C14" s="17">
        <v>10</v>
      </c>
      <c r="D14" s="18">
        <f>[2]Tabelas_Consumos!B22</f>
        <v>46103.852187250908</v>
      </c>
      <c r="E14" s="19">
        <f>[2]Tabelas_Consumos!C22</f>
        <v>47422.331667857397</v>
      </c>
      <c r="F14" s="19">
        <f>[2]Tabelas_Consumos!D22</f>
        <v>48263.084478557881</v>
      </c>
      <c r="G14" s="19">
        <f>[2]Tabelas_Consumos!E22</f>
        <v>47077.239749740555</v>
      </c>
      <c r="H14" s="19">
        <f>[2]Tabelas_Consumos!F22</f>
        <v>62175.568589239192</v>
      </c>
      <c r="I14" s="19">
        <f>[2]Tabelas_Consumos!G22</f>
        <v>69153.762718784099</v>
      </c>
      <c r="J14" s="19">
        <f>[2]Tabelas_Consumos!H22</f>
        <v>97725.494635613984</v>
      </c>
      <c r="K14" s="19">
        <f>[2]Tabelas_Consumos!I22</f>
        <v>92027.607485239612</v>
      </c>
      <c r="L14" s="19">
        <f>[2]Tabelas_Consumos!J22</f>
        <v>80601.691877872756</v>
      </c>
      <c r="M14" s="19">
        <f>[2]Tabelas_Consumos!K22</f>
        <v>53253.220526601617</v>
      </c>
      <c r="N14" s="19">
        <f>[2]Tabelas_Consumos!L22</f>
        <v>51031.801750725041</v>
      </c>
      <c r="O14" s="20">
        <f>[2]Tabelas_Consumos!M22</f>
        <v>46481.257972845931</v>
      </c>
      <c r="P14" s="30"/>
      <c r="Q14" s="32"/>
      <c r="R14" s="31"/>
      <c r="S14" s="26"/>
      <c r="T14" s="26"/>
      <c r="U14" s="26"/>
      <c r="V14" s="26"/>
      <c r="W14" s="26"/>
    </row>
    <row r="15" spans="1:23" x14ac:dyDescent="0.25">
      <c r="A15" s="16"/>
      <c r="B15" s="16"/>
      <c r="C15" s="17">
        <v>11</v>
      </c>
      <c r="D15" s="18">
        <f>[3]Tabelas_Consumos!B21</f>
        <v>50135.44123594604</v>
      </c>
      <c r="E15" s="19">
        <f>[3]Tabelas_Consumos!C21</f>
        <v>44441.653560590712</v>
      </c>
      <c r="F15" s="19">
        <f>[3]Tabelas_Consumos!D21</f>
        <v>48183.779142567357</v>
      </c>
      <c r="G15" s="19">
        <f>[3]Tabelas_Consumos!E21</f>
        <v>57962.17362606214</v>
      </c>
      <c r="H15" s="19">
        <f>[3]Tabelas_Consumos!F21</f>
        <v>68463.642870522206</v>
      </c>
      <c r="I15" s="19">
        <f>[3]Tabelas_Consumos!G21</f>
        <v>66053.565277038433</v>
      </c>
      <c r="J15" s="19">
        <f>[3]Tabelas_Consumos!H21</f>
        <v>67814.422192386279</v>
      </c>
      <c r="K15" s="19">
        <f>[3]Tabelas_Consumos!I21</f>
        <v>54112.113803559776</v>
      </c>
      <c r="L15" s="19">
        <f>[3]Tabelas_Consumos!J21</f>
        <v>58055.545705900127</v>
      </c>
      <c r="M15" s="19">
        <f>[3]Tabelas_Consumos!K21</f>
        <v>50327.385718332807</v>
      </c>
      <c r="N15" s="19">
        <f>[3]Tabelas_Consumos!L21</f>
        <v>17999.177000809123</v>
      </c>
      <c r="O15" s="20">
        <f>[3]Tabelas_Consumos!M21</f>
        <v>17651.447</v>
      </c>
      <c r="P15" s="1"/>
      <c r="Q15" s="35"/>
      <c r="R15" s="36"/>
      <c r="S15" s="26"/>
      <c r="T15" s="26"/>
      <c r="U15" s="26"/>
      <c r="V15" s="26"/>
      <c r="W15" s="26"/>
    </row>
    <row r="16" spans="1:23" ht="15.75" thickBot="1" x14ac:dyDescent="0.3">
      <c r="A16" s="16"/>
      <c r="B16" s="21"/>
      <c r="C16" s="22">
        <v>12</v>
      </c>
      <c r="D16" s="23">
        <f>[3]Tabelas_Consumos!B22</f>
        <v>21801.986999819092</v>
      </c>
      <c r="E16" s="24">
        <f>[3]Tabelas_Consumos!C22</f>
        <v>26951.720583988208</v>
      </c>
      <c r="F16" s="24">
        <f>[3]Tabelas_Consumos!D22</f>
        <v>31463.623331328385</v>
      </c>
      <c r="G16" s="24">
        <f>[3]Tabelas_Consumos!E22</f>
        <v>29082.744317511064</v>
      </c>
      <c r="H16" s="24">
        <f>[3]Tabelas_Consumos!F22</f>
        <v>47867.52780650444</v>
      </c>
      <c r="I16" s="24">
        <f>[3]Tabelas_Consumos!G22</f>
        <v>51345.16662380792</v>
      </c>
      <c r="J16" s="24">
        <f>[3]Tabelas_Consumos!H22</f>
        <v>61483.830801096221</v>
      </c>
      <c r="K16" s="24">
        <f>[3]Tabelas_Consumos!I22</f>
        <v>29082.744317511064</v>
      </c>
      <c r="L16" s="24">
        <f>[3]Tabelas_Consumos!J22</f>
        <v>63917.24802708489</v>
      </c>
      <c r="M16" s="24">
        <f>[3]Tabelas_Consumos!K22</f>
        <v>45099.959966654475</v>
      </c>
      <c r="N16" s="24">
        <f>[3]Tabelas_Consumos!L22</f>
        <v>44438.647517787555</v>
      </c>
      <c r="O16" s="25">
        <f>[3]Tabelas_Consumos!M22</f>
        <v>23687.909704429272</v>
      </c>
      <c r="P16" s="1"/>
      <c r="Q16" s="35"/>
      <c r="R16" s="36"/>
      <c r="S16" s="26"/>
      <c r="T16" s="26"/>
      <c r="U16" s="26"/>
      <c r="V16" s="26"/>
      <c r="W16" s="26"/>
    </row>
    <row r="17" spans="1:23" x14ac:dyDescent="0.25">
      <c r="A17" s="16"/>
      <c r="B17" s="11" t="s">
        <v>18</v>
      </c>
      <c r="C17" s="12" t="s">
        <v>58</v>
      </c>
      <c r="D17" s="13">
        <f>[1]Tabelas_Consumos!B23</f>
        <v>121069.48375741333</v>
      </c>
      <c r="E17" s="14">
        <f>[1]Tabelas_Consumos!C23</f>
        <v>77612.993710124487</v>
      </c>
      <c r="F17" s="14">
        <f>[1]Tabelas_Consumos!D23</f>
        <v>51826.352756285982</v>
      </c>
      <c r="G17" s="14">
        <f>[1]Tabelas_Consumos!E23</f>
        <v>18095.780205267787</v>
      </c>
      <c r="H17" s="14">
        <f>[1]Tabelas_Consumos!F23</f>
        <v>0</v>
      </c>
      <c r="I17" s="14">
        <f>[1]Tabelas_Consumos!G23</f>
        <v>0</v>
      </c>
      <c r="J17" s="14">
        <f>[1]Tabelas_Consumos!H23</f>
        <v>-0.32334187751985155</v>
      </c>
      <c r="K17" s="14">
        <f>[1]Tabelas_Consumos!I23</f>
        <v>0</v>
      </c>
      <c r="L17" s="14">
        <f>[1]Tabelas_Consumos!J23</f>
        <v>0</v>
      </c>
      <c r="M17" s="14">
        <f>[1]Tabelas_Consumos!K23</f>
        <v>0</v>
      </c>
      <c r="N17" s="14">
        <f>[1]Tabelas_Consumos!L23</f>
        <v>29584.781628168872</v>
      </c>
      <c r="O17" s="15">
        <f>[1]Tabelas_Consumos!M23</f>
        <v>67339.037708072952</v>
      </c>
      <c r="P17" s="1"/>
      <c r="Q17" s="35"/>
      <c r="R17" s="36"/>
      <c r="S17" s="26"/>
      <c r="T17" s="26"/>
      <c r="U17" s="26"/>
      <c r="V17" s="26"/>
      <c r="W17" s="26"/>
    </row>
    <row r="18" spans="1:23" x14ac:dyDescent="0.25">
      <c r="A18" s="16"/>
      <c r="B18" s="16"/>
      <c r="C18" s="17" t="s">
        <v>59</v>
      </c>
      <c r="D18" s="18">
        <f>[1]Tabelas_Consumos!B24</f>
        <v>68469.180849060242</v>
      </c>
      <c r="E18" s="19">
        <f>[1]Tabelas_Consumos!C24</f>
        <v>49124.850772400154</v>
      </c>
      <c r="F18" s="19">
        <f>[1]Tabelas_Consumos!D24</f>
        <v>47716.131265654083</v>
      </c>
      <c r="G18" s="19">
        <f>[1]Tabelas_Consumos!E24</f>
        <v>6882.6846395844332</v>
      </c>
      <c r="H18" s="19">
        <f>[1]Tabelas_Consumos!F24</f>
        <v>0</v>
      </c>
      <c r="I18" s="19">
        <f>[1]Tabelas_Consumos!G24</f>
        <v>0</v>
      </c>
      <c r="J18" s="19">
        <f>[1]Tabelas_Consumos!H24</f>
        <v>0</v>
      </c>
      <c r="K18" s="19">
        <f>[1]Tabelas_Consumos!I24</f>
        <v>0</v>
      </c>
      <c r="L18" s="19">
        <f>[1]Tabelas_Consumos!J24</f>
        <v>0</v>
      </c>
      <c r="M18" s="19">
        <f>[1]Tabelas_Consumos!K24</f>
        <v>0</v>
      </c>
      <c r="N18" s="19">
        <f>[1]Tabelas_Consumos!L24</f>
        <v>43199.017041867977</v>
      </c>
      <c r="O18" s="20">
        <f>[1]Tabelas_Consumos!M24</f>
        <v>52971.2784111566</v>
      </c>
      <c r="P18" s="1"/>
      <c r="Q18" s="35"/>
      <c r="R18" s="36"/>
      <c r="S18" s="26"/>
      <c r="T18" s="26"/>
      <c r="U18" s="26"/>
      <c r="V18" s="26"/>
      <c r="W18" s="26"/>
    </row>
    <row r="19" spans="1:23" x14ac:dyDescent="0.25">
      <c r="A19" s="16"/>
      <c r="B19" s="16"/>
      <c r="C19" s="17" t="s">
        <v>60</v>
      </c>
      <c r="D19" s="18">
        <f>[2]Tabelas_Consumos!B23</f>
        <v>78620.211268184532</v>
      </c>
      <c r="E19" s="19">
        <f>[2]Tabelas_Consumos!C23</f>
        <v>64645.04741628316</v>
      </c>
      <c r="F19" s="19">
        <f>[2]Tabelas_Consumos!D23</f>
        <v>17138.781956008843</v>
      </c>
      <c r="G19" s="19">
        <f>[2]Tabelas_Consumos!E23</f>
        <v>2467.8223929698574</v>
      </c>
      <c r="H19" s="19">
        <f>[2]Tabelas_Consumos!F23</f>
        <v>0</v>
      </c>
      <c r="I19" s="19">
        <f>[2]Tabelas_Consumos!G23</f>
        <v>0</v>
      </c>
      <c r="J19" s="19">
        <f>[2]Tabelas_Consumos!H23</f>
        <v>0</v>
      </c>
      <c r="K19" s="19">
        <f>[2]Tabelas_Consumos!I23</f>
        <v>0</v>
      </c>
      <c r="L19" s="19">
        <f>[2]Tabelas_Consumos!J23</f>
        <v>0</v>
      </c>
      <c r="M19" s="19">
        <f>[2]Tabelas_Consumos!K23</f>
        <v>0</v>
      </c>
      <c r="N19" s="19">
        <f>[2]Tabelas_Consumos!L23</f>
        <v>13383.536906178013</v>
      </c>
      <c r="O19" s="20">
        <f>[2]Tabelas_Consumos!M23</f>
        <v>44031.808868014996</v>
      </c>
      <c r="P19" s="1"/>
      <c r="Q19" s="35"/>
      <c r="R19" s="36"/>
      <c r="S19" s="26"/>
      <c r="T19" s="26"/>
      <c r="U19" s="26"/>
      <c r="V19" s="26"/>
      <c r="W19" s="26"/>
    </row>
    <row r="20" spans="1:23" x14ac:dyDescent="0.25">
      <c r="A20" s="16"/>
      <c r="B20" s="16"/>
      <c r="C20" s="17">
        <v>10</v>
      </c>
      <c r="D20" s="18">
        <f>[2]Tabelas_Consumos!B24</f>
        <v>49824.892435473521</v>
      </c>
      <c r="E20" s="19">
        <f>[2]Tabelas_Consumos!C24</f>
        <v>54631.411134325361</v>
      </c>
      <c r="F20" s="19">
        <f>[2]Tabelas_Consumos!D24</f>
        <v>40584.037593899557</v>
      </c>
      <c r="G20" s="19">
        <f>[2]Tabelas_Consumos!E24</f>
        <v>5089.8775870352556</v>
      </c>
      <c r="H20" s="19">
        <f>[2]Tabelas_Consumos!F24</f>
        <v>0</v>
      </c>
      <c r="I20" s="19">
        <f>[2]Tabelas_Consumos!G24</f>
        <v>0</v>
      </c>
      <c r="J20" s="19">
        <f>[2]Tabelas_Consumos!H24</f>
        <v>0</v>
      </c>
      <c r="K20" s="19">
        <f>[2]Tabelas_Consumos!I24</f>
        <v>0</v>
      </c>
      <c r="L20" s="19">
        <f>[2]Tabelas_Consumos!J24</f>
        <v>0</v>
      </c>
      <c r="M20" s="19">
        <f>[2]Tabelas_Consumos!K24</f>
        <v>0</v>
      </c>
      <c r="N20" s="19">
        <f>[2]Tabelas_Consumos!L24</f>
        <v>23701.043420632664</v>
      </c>
      <c r="O20" s="20">
        <f>[2]Tabelas_Consumos!M24</f>
        <v>54189.245282492673</v>
      </c>
      <c r="P20" s="1"/>
      <c r="Q20" s="35"/>
      <c r="R20" s="36"/>
      <c r="S20" s="26"/>
      <c r="T20" s="26"/>
      <c r="U20" s="26"/>
      <c r="V20" s="26"/>
      <c r="W20" s="26"/>
    </row>
    <row r="21" spans="1:23" x14ac:dyDescent="0.25">
      <c r="A21" s="16"/>
      <c r="B21" s="16"/>
      <c r="C21" s="17">
        <v>11</v>
      </c>
      <c r="D21" s="18">
        <f>[3]Tabelas_Consumos!B23</f>
        <v>56541.984734993355</v>
      </c>
      <c r="E21" s="19">
        <f>[3]Tabelas_Consumos!C23</f>
        <v>46622.44708126974</v>
      </c>
      <c r="F21" s="19">
        <f>[3]Tabelas_Consumos!D23</f>
        <v>24132.230458290851</v>
      </c>
      <c r="G21" s="19">
        <f>[3]Tabelas_Consumos!E23</f>
        <v>0</v>
      </c>
      <c r="H21" s="19">
        <f>[3]Tabelas_Consumos!F23</f>
        <v>0</v>
      </c>
      <c r="I21" s="19">
        <f>[3]Tabelas_Consumos!G23</f>
        <v>0</v>
      </c>
      <c r="J21" s="19">
        <f>[3]Tabelas_Consumos!H23</f>
        <v>0</v>
      </c>
      <c r="K21" s="19">
        <f>[3]Tabelas_Consumos!I23</f>
        <v>0</v>
      </c>
      <c r="L21" s="19">
        <f>[3]Tabelas_Consumos!J23</f>
        <v>0</v>
      </c>
      <c r="M21" s="19">
        <f>[3]Tabelas_Consumos!K23</f>
        <v>0</v>
      </c>
      <c r="N21" s="19">
        <f>[3]Tabelas_Consumos!L23</f>
        <v>24673.6955061761</v>
      </c>
      <c r="O21" s="20">
        <f>[3]Tabelas_Consumos!M23</f>
        <v>37216.564411162777</v>
      </c>
      <c r="P21" s="1"/>
      <c r="Q21" s="35"/>
      <c r="R21" s="36"/>
      <c r="S21" s="26"/>
      <c r="T21" s="26"/>
      <c r="U21" s="26"/>
      <c r="V21" s="26"/>
      <c r="W21" s="26"/>
    </row>
    <row r="22" spans="1:23" ht="15.75" thickBot="1" x14ac:dyDescent="0.3">
      <c r="A22" s="21"/>
      <c r="B22" s="21"/>
      <c r="C22" s="22">
        <v>12</v>
      </c>
      <c r="D22" s="23">
        <f>[3]Tabelas_Consumos!B24</f>
        <v>42305.942468414003</v>
      </c>
      <c r="E22" s="24">
        <f>[3]Tabelas_Consumos!C24</f>
        <v>52677.02819739603</v>
      </c>
      <c r="F22" s="24">
        <f>[3]Tabelas_Consumos!D24</f>
        <v>13009.282015054469</v>
      </c>
      <c r="G22" s="24">
        <f>[3]Tabelas_Consumos!E24</f>
        <v>6876.6129671801809</v>
      </c>
      <c r="H22" s="24">
        <f>[3]Tabelas_Consumos!F24</f>
        <v>1803.5368802055968</v>
      </c>
      <c r="I22" s="24">
        <f>[3]Tabelas_Consumos!G24</f>
        <v>0</v>
      </c>
      <c r="J22" s="24">
        <f>[3]Tabelas_Consumos!H24</f>
        <v>0</v>
      </c>
      <c r="K22" s="24">
        <f>[3]Tabelas_Consumos!I24</f>
        <v>0</v>
      </c>
      <c r="L22" s="24">
        <f>[3]Tabelas_Consumos!J24</f>
        <v>0</v>
      </c>
      <c r="M22" s="24">
        <f>[3]Tabelas_Consumos!K24</f>
        <v>2521.8596259020028</v>
      </c>
      <c r="N22" s="24">
        <f>[3]Tabelas_Consumos!L24</f>
        <v>24001</v>
      </c>
      <c r="O22" s="25">
        <f>[3]Tabelas_Consumos!M24</f>
        <v>37985.926254607424</v>
      </c>
      <c r="P22" s="1"/>
      <c r="Q22" s="35"/>
      <c r="R22" s="36"/>
      <c r="S22" s="26"/>
      <c r="T22" s="26"/>
      <c r="U22" s="26"/>
      <c r="V22" s="26"/>
      <c r="W22" s="26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6"/>
      <c r="R23" s="26"/>
      <c r="S23" s="26"/>
      <c r="T23" s="26"/>
      <c r="U23" s="26"/>
      <c r="V23" s="26"/>
      <c r="W23" s="26"/>
    </row>
    <row r="24" spans="1:23" ht="15.75" thickBot="1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"/>
      <c r="Q24" s="26"/>
      <c r="R24" s="26"/>
      <c r="S24" s="26"/>
      <c r="T24" s="26"/>
      <c r="U24" s="26"/>
      <c r="V24" s="26"/>
      <c r="W24" s="26"/>
    </row>
    <row r="25" spans="1:23" ht="15.75" thickBot="1" x14ac:dyDescent="0.3">
      <c r="A25" s="3" t="s">
        <v>61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1"/>
    </row>
    <row r="26" spans="1:23" ht="15.75" thickBot="1" x14ac:dyDescent="0.3">
      <c r="A26" s="6" t="s">
        <v>55</v>
      </c>
      <c r="B26" s="6" t="s">
        <v>56</v>
      </c>
      <c r="C26" s="6" t="s">
        <v>57</v>
      </c>
      <c r="D26" s="38" t="s">
        <v>25</v>
      </c>
      <c r="E26" s="7" t="s">
        <v>28</v>
      </c>
      <c r="F26" s="7" t="s">
        <v>30</v>
      </c>
      <c r="G26" s="8" t="s">
        <v>32</v>
      </c>
      <c r="H26" s="8" t="s">
        <v>34</v>
      </c>
      <c r="I26" s="8" t="s">
        <v>36</v>
      </c>
      <c r="J26" s="8" t="s">
        <v>38</v>
      </c>
      <c r="K26" s="8" t="s">
        <v>40</v>
      </c>
      <c r="L26" s="8" t="s">
        <v>42</v>
      </c>
      <c r="M26" s="8" t="s">
        <v>44</v>
      </c>
      <c r="N26" s="8" t="s">
        <v>46</v>
      </c>
      <c r="O26" s="9" t="s">
        <v>48</v>
      </c>
      <c r="P26" s="1"/>
    </row>
    <row r="27" spans="1:23" x14ac:dyDescent="0.25">
      <c r="A27" s="39" t="s">
        <v>52</v>
      </c>
      <c r="B27" s="39" t="s">
        <v>13</v>
      </c>
      <c r="C27" s="40" t="s">
        <v>58</v>
      </c>
      <c r="D27" s="41">
        <f>[1]Tabelas_Consumos!B11</f>
        <v>74612.378619920055</v>
      </c>
      <c r="E27" s="42">
        <f>[1]Tabelas_Consumos!C11</f>
        <v>62070.944341899114</v>
      </c>
      <c r="F27" s="42">
        <f>[1]Tabelas_Consumos!D11</f>
        <v>76254.627093261108</v>
      </c>
      <c r="G27" s="42">
        <f>[1]Tabelas_Consumos!E11</f>
        <v>77374.024878975586</v>
      </c>
      <c r="H27" s="42">
        <f>[1]Tabelas_Consumos!F11</f>
        <v>80125.293967187812</v>
      </c>
      <c r="I27" s="42">
        <f>[1]Tabelas_Consumos!G11</f>
        <v>77597.722392733151</v>
      </c>
      <c r="J27" s="42">
        <f>[1]Tabelas_Consumos!H11</f>
        <v>74244.399297931712</v>
      </c>
      <c r="K27" s="42">
        <f>[1]Tabelas_Consumos!I11</f>
        <v>50247.200595004797</v>
      </c>
      <c r="L27" s="42">
        <f>[1]Tabelas_Consumos!J11</f>
        <v>70424.543801156789</v>
      </c>
      <c r="M27" s="42">
        <f>[1]Tabelas_Consumos!K11</f>
        <v>72477.613337040777</v>
      </c>
      <c r="N27" s="42">
        <f>[1]Tabelas_Consumos!L11</f>
        <v>61001.880284800412</v>
      </c>
      <c r="O27" s="43">
        <f>[1]Tabelas_Consumos!M11</f>
        <v>62085.697603131717</v>
      </c>
      <c r="P27" s="1"/>
    </row>
    <row r="28" spans="1:23" x14ac:dyDescent="0.25">
      <c r="A28" s="44"/>
      <c r="B28" s="44"/>
      <c r="C28" s="45" t="s">
        <v>59</v>
      </c>
      <c r="D28" s="46">
        <f>[1]Tabelas_Consumos!B12</f>
        <v>59574.634085971629</v>
      </c>
      <c r="E28" s="47">
        <f>[1]Tabelas_Consumos!C12</f>
        <v>59592.909750775529</v>
      </c>
      <c r="F28" s="47">
        <f>[1]Tabelas_Consumos!D12</f>
        <v>56568.12592962441</v>
      </c>
      <c r="G28" s="47">
        <f>[1]Tabelas_Consumos!E12</f>
        <v>73300.461230465851</v>
      </c>
      <c r="H28" s="47">
        <f>[1]Tabelas_Consumos!F12</f>
        <v>69089.611464463684</v>
      </c>
      <c r="I28" s="47">
        <f>[1]Tabelas_Consumos!G12</f>
        <v>52319.342181076841</v>
      </c>
      <c r="J28" s="47">
        <f>[1]Tabelas_Consumos!H12</f>
        <v>57073.054699874207</v>
      </c>
      <c r="K28" s="47">
        <f>[1]Tabelas_Consumos!I12</f>
        <v>47342.36799688304</v>
      </c>
      <c r="L28" s="47">
        <f>[1]Tabelas_Consumos!J12</f>
        <v>78069.11747445201</v>
      </c>
      <c r="M28" s="47">
        <f>[1]Tabelas_Consumos!K12</f>
        <v>58548.781226187893</v>
      </c>
      <c r="N28" s="47">
        <f>[1]Tabelas_Consumos!L12</f>
        <v>53819.636622859725</v>
      </c>
      <c r="O28" s="48">
        <f>[1]Tabelas_Consumos!M12</f>
        <v>63426.096466485978</v>
      </c>
      <c r="P28" s="1"/>
    </row>
    <row r="29" spans="1:23" x14ac:dyDescent="0.25">
      <c r="A29" s="44"/>
      <c r="B29" s="44"/>
      <c r="C29" s="45" t="s">
        <v>60</v>
      </c>
      <c r="D29" s="46">
        <f>[4]Tabelas_Consumos!B12</f>
        <v>53496.332423999913</v>
      </c>
      <c r="E29" s="47">
        <f>[4]Tabelas_Consumos!C12</f>
        <v>55428.457100832406</v>
      </c>
      <c r="F29" s="47">
        <f>[4]Tabelas_Consumos!D12</f>
        <v>65077.584059365239</v>
      </c>
      <c r="G29" s="47">
        <f>[4]Tabelas_Consumos!E12</f>
        <v>60911.526055211107</v>
      </c>
      <c r="H29" s="47">
        <f>[4]Tabelas_Consumos!F12</f>
        <v>62124.430786560399</v>
      </c>
      <c r="I29" s="47">
        <f>[4]Tabelas_Consumos!G12</f>
        <v>60354.694463133914</v>
      </c>
      <c r="J29" s="47">
        <f>[4]Tabelas_Consumos!H12</f>
        <v>60084.863997209817</v>
      </c>
      <c r="K29" s="47">
        <f>[4]Tabelas_Consumos!I12</f>
        <v>47819.497869497223</v>
      </c>
      <c r="L29" s="47">
        <f>[4]Tabelas_Consumos!J12</f>
        <v>69312.893805126601</v>
      </c>
      <c r="M29" s="47">
        <f>[4]Tabelas_Consumos!K12</f>
        <v>62547.279032584906</v>
      </c>
      <c r="N29" s="47">
        <f>[4]Tabelas_Consumos!L12</f>
        <v>67663.260650733806</v>
      </c>
      <c r="O29" s="48">
        <f>[4]Tabelas_Consumos!M12</f>
        <v>61693.260825511112</v>
      </c>
      <c r="P29" s="1"/>
    </row>
    <row r="30" spans="1:23" x14ac:dyDescent="0.25">
      <c r="A30" s="44"/>
      <c r="B30" s="44"/>
      <c r="C30" s="45">
        <v>10</v>
      </c>
      <c r="D30" s="46">
        <f>[5]Tabelas_Consumos!B11</f>
        <v>60450.546916731269</v>
      </c>
      <c r="E30" s="47">
        <f>[5]Tabelas_Consumos!C11</f>
        <v>65299.333465937416</v>
      </c>
      <c r="F30" s="47">
        <f>[5]Tabelas_Consumos!D11</f>
        <v>67684.398130534537</v>
      </c>
      <c r="G30" s="47">
        <f>[5]Tabelas_Consumos!E11</f>
        <v>62269.690098627048</v>
      </c>
      <c r="H30" s="47">
        <f>[5]Tabelas_Consumos!F11</f>
        <v>67979.144897236838</v>
      </c>
      <c r="I30" s="47">
        <f>[5]Tabelas_Consumos!G11</f>
        <v>62799.726157837911</v>
      </c>
      <c r="J30" s="47">
        <f>[5]Tabelas_Consumos!H11</f>
        <v>57969.465852777925</v>
      </c>
      <c r="K30" s="47">
        <f>[5]Tabelas_Consumos!I11</f>
        <v>51952.148907073039</v>
      </c>
      <c r="L30" s="47">
        <f>[5]Tabelas_Consumos!J11</f>
        <v>50771.725552590673</v>
      </c>
      <c r="M30" s="47">
        <f>[5]Tabelas_Consumos!K11</f>
        <v>63917.239187367886</v>
      </c>
      <c r="N30" s="47">
        <f>[5]Tabelas_Consumos!L11</f>
        <v>47266.305224352895</v>
      </c>
      <c r="O30" s="48">
        <f>[5]Tabelas_Consumos!M11</f>
        <v>54848.513210417281</v>
      </c>
      <c r="P30" s="1"/>
    </row>
    <row r="31" spans="1:23" x14ac:dyDescent="0.25">
      <c r="A31" s="44"/>
      <c r="B31" s="44"/>
      <c r="C31" s="45">
        <v>11</v>
      </c>
      <c r="D31" s="46">
        <f>[5]Tabelas_Consumos!B12</f>
        <v>65212.21665669122</v>
      </c>
      <c r="E31" s="47">
        <f>[5]Tabelas_Consumos!C12</f>
        <v>68151.258984830682</v>
      </c>
      <c r="F31" s="47">
        <f>[5]Tabelas_Consumos!D12</f>
        <v>61351.292480627497</v>
      </c>
      <c r="G31" s="47">
        <f>[5]Tabelas_Consumos!E12</f>
        <v>57223.041522382657</v>
      </c>
      <c r="H31" s="47">
        <f>[5]Tabelas_Consumos!F12</f>
        <v>68505.60576887583</v>
      </c>
      <c r="I31" s="47">
        <f>[5]Tabelas_Consumos!G12</f>
        <v>57648.060683418938</v>
      </c>
      <c r="J31" s="47">
        <f>[5]Tabelas_Consumos!H12</f>
        <v>51749.575150142453</v>
      </c>
      <c r="K31" s="47">
        <f>[5]Tabelas_Consumos!I12</f>
        <v>43298.950189800031</v>
      </c>
      <c r="L31" s="47">
        <f>[5]Tabelas_Consumos!J12</f>
        <v>45564.89323833424</v>
      </c>
      <c r="M31" s="47">
        <f>[5]Tabelas_Consumos!K12</f>
        <v>56171.241791125285</v>
      </c>
      <c r="N31" s="47">
        <f>[5]Tabelas_Consumos!L12</f>
        <v>59160.489918773164</v>
      </c>
      <c r="O31" s="48">
        <f>[5]Tabelas_Consumos!M12</f>
        <v>52996.34980842712</v>
      </c>
      <c r="P31" s="1"/>
    </row>
    <row r="32" spans="1:23" ht="15.75" thickBot="1" x14ac:dyDescent="0.3">
      <c r="A32" s="44"/>
      <c r="B32" s="49"/>
      <c r="C32" s="50">
        <v>12</v>
      </c>
      <c r="D32" s="51">
        <f>[3]Tabelas_Consumos!B12</f>
        <v>58528.295214600257</v>
      </c>
      <c r="E32" s="52">
        <f>[3]Tabelas_Consumos!C12</f>
        <v>63898.623170979758</v>
      </c>
      <c r="F32" s="52">
        <f>[3]Tabelas_Consumos!D12</f>
        <v>55537.474424245964</v>
      </c>
      <c r="G32" s="52">
        <f>[3]Tabelas_Consumos!E12</f>
        <v>67516.363778836909</v>
      </c>
      <c r="H32" s="52">
        <f>[3]Tabelas_Consumos!F12</f>
        <v>63097.104133378351</v>
      </c>
      <c r="I32" s="52">
        <f>[3]Tabelas_Consumos!G12</f>
        <v>56300.057276456151</v>
      </c>
      <c r="J32" s="52">
        <f>[3]Tabelas_Consumos!H12</f>
        <v>47252.798815531409</v>
      </c>
      <c r="K32" s="52">
        <f>[3]Tabelas_Consumos!I12</f>
        <v>31051.873005929541</v>
      </c>
      <c r="L32" s="52">
        <f>[3]Tabelas_Consumos!J12</f>
        <v>57158.756980853657</v>
      </c>
      <c r="M32" s="52">
        <f>[3]Tabelas_Consumos!K12</f>
        <v>46929.549196865177</v>
      </c>
      <c r="N32" s="52">
        <f>[3]Tabelas_Consumos!L12</f>
        <v>37788.548905664764</v>
      </c>
      <c r="O32" s="53">
        <f>[3]Tabelas_Consumos!M12</f>
        <v>41510.586013153734</v>
      </c>
      <c r="P32" s="1"/>
    </row>
    <row r="33" spans="1:17" x14ac:dyDescent="0.25">
      <c r="A33" s="44"/>
      <c r="B33" s="39" t="s">
        <v>16</v>
      </c>
      <c r="C33" s="40" t="s">
        <v>58</v>
      </c>
      <c r="D33" s="41">
        <f>[1]Tabelas_Consumos!B28</f>
        <v>42740.284891600473</v>
      </c>
      <c r="E33" s="42">
        <f>[1]Tabelas_Consumos!C28</f>
        <v>43199.442846197177</v>
      </c>
      <c r="F33" s="42">
        <f>[1]Tabelas_Consumos!D28</f>
        <v>55474.243932686113</v>
      </c>
      <c r="G33" s="42">
        <f>[1]Tabelas_Consumos!E28</f>
        <v>60030.104934027717</v>
      </c>
      <c r="H33" s="42">
        <f>[1]Tabelas_Consumos!F28</f>
        <v>66192.936459748133</v>
      </c>
      <c r="I33" s="42">
        <f>[1]Tabelas_Consumos!G28</f>
        <v>72113.458908221131</v>
      </c>
      <c r="J33" s="42">
        <f>[1]Tabelas_Consumos!H28</f>
        <v>80862.098753881903</v>
      </c>
      <c r="K33" s="42">
        <f>[1]Tabelas_Consumos!I28</f>
        <v>42122.560202870998</v>
      </c>
      <c r="L33" s="42">
        <f>[1]Tabelas_Consumos!J28</f>
        <v>69240.753963237308</v>
      </c>
      <c r="M33" s="42">
        <f>[1]Tabelas_Consumos!K28</f>
        <v>65804.801699017698</v>
      </c>
      <c r="N33" s="42">
        <f>[1]Tabelas_Consumos!L28</f>
        <v>52173.648057173465</v>
      </c>
      <c r="O33" s="43">
        <f>[1]Tabelas_Consumos!M28</f>
        <v>48115.817745486362</v>
      </c>
      <c r="P33" s="1"/>
    </row>
    <row r="34" spans="1:17" x14ac:dyDescent="0.25">
      <c r="A34" s="44"/>
      <c r="B34" s="44"/>
      <c r="C34" s="45" t="s">
        <v>59</v>
      </c>
      <c r="D34" s="46">
        <f>[4]Tabelas_Consumos!B28</f>
        <v>47171.94374566467</v>
      </c>
      <c r="E34" s="47">
        <f>[4]Tabelas_Consumos!C28</f>
        <v>49918.092992897764</v>
      </c>
      <c r="F34" s="47">
        <f>[4]Tabelas_Consumos!D28</f>
        <v>51838.910109956312</v>
      </c>
      <c r="G34" s="47">
        <f>[4]Tabelas_Consumos!E28</f>
        <v>47663.364195049493</v>
      </c>
      <c r="H34" s="47">
        <f>[4]Tabelas_Consumos!F28</f>
        <v>46435.610390364309</v>
      </c>
      <c r="I34" s="47">
        <f>[4]Tabelas_Consumos!G28</f>
        <v>65118.573697801818</v>
      </c>
      <c r="J34" s="47">
        <f>[4]Tabelas_Consumos!H28</f>
        <v>64105.456019762394</v>
      </c>
      <c r="K34" s="47">
        <f>[4]Tabelas_Consumos!I28</f>
        <v>46955.370377432497</v>
      </c>
      <c r="L34" s="47">
        <f>[4]Tabelas_Consumos!J28</f>
        <v>52440.459545033453</v>
      </c>
      <c r="M34" s="47">
        <f>[4]Tabelas_Consumos!K28</f>
        <v>46103.002401981103</v>
      </c>
      <c r="N34" s="47">
        <f>[4]Tabelas_Consumos!L28</f>
        <v>35130.009070380773</v>
      </c>
      <c r="O34" s="48">
        <f>[4]Tabelas_Consumos!M28</f>
        <v>37965.771607312585</v>
      </c>
      <c r="P34" s="1"/>
    </row>
    <row r="35" spans="1:17" x14ac:dyDescent="0.25">
      <c r="A35" s="44"/>
      <c r="B35" s="44"/>
      <c r="C35" s="45" t="s">
        <v>60</v>
      </c>
      <c r="D35" s="46">
        <f>[4]Tabelas_Consumos!B29</f>
        <v>28532.848187309624</v>
      </c>
      <c r="E35" s="47">
        <f>[4]Tabelas_Consumos!C29</f>
        <v>32755.760966002039</v>
      </c>
      <c r="F35" s="47">
        <f>[4]Tabelas_Consumos!D29</f>
        <v>37702.165793561318</v>
      </c>
      <c r="G35" s="47">
        <f>[4]Tabelas_Consumos!E29</f>
        <v>36666.623902968699</v>
      </c>
      <c r="H35" s="47">
        <f>[4]Tabelas_Consumos!F29</f>
        <v>51648.09203354449</v>
      </c>
      <c r="I35" s="47">
        <f>[4]Tabelas_Consumos!G29</f>
        <v>60850.567017703106</v>
      </c>
      <c r="J35" s="47">
        <f>[4]Tabelas_Consumos!H29</f>
        <v>50001.854748823571</v>
      </c>
      <c r="K35" s="47">
        <f>[4]Tabelas_Consumos!I29</f>
        <v>32778.652645765593</v>
      </c>
      <c r="L35" s="47">
        <f>[4]Tabelas_Consumos!J29</f>
        <v>69755.928471988474</v>
      </c>
      <c r="M35" s="47">
        <f>[4]Tabelas_Consumos!K29</f>
        <v>63414.795289946138</v>
      </c>
      <c r="N35" s="47">
        <f>[4]Tabelas_Consumos!L29</f>
        <v>49697.423875910317</v>
      </c>
      <c r="O35" s="48">
        <f>[4]Tabelas_Consumos!M29</f>
        <v>36896.067248431551</v>
      </c>
      <c r="P35" s="1"/>
    </row>
    <row r="36" spans="1:17" x14ac:dyDescent="0.25">
      <c r="A36" s="44"/>
      <c r="B36" s="44"/>
      <c r="C36" s="45">
        <v>10</v>
      </c>
      <c r="D36" s="46">
        <f>[5]Tabelas_Consumos!B28</f>
        <v>42042.039141122645</v>
      </c>
      <c r="E36" s="47">
        <f>[5]Tabelas_Consumos!C28</f>
        <v>37182.149179966793</v>
      </c>
      <c r="F36" s="47">
        <f>[5]Tabelas_Consumos!D28</f>
        <v>41491.263760286674</v>
      </c>
      <c r="G36" s="47">
        <f>[5]Tabelas_Consumos!E28</f>
        <v>41592.774375356443</v>
      </c>
      <c r="H36" s="47">
        <f>[5]Tabelas_Consumos!F28</f>
        <v>48588.905400472926</v>
      </c>
      <c r="I36" s="47">
        <f>[5]Tabelas_Consumos!G28</f>
        <v>49355.363968543876</v>
      </c>
      <c r="J36" s="47">
        <f>[5]Tabelas_Consumos!H28</f>
        <v>50969.955866542194</v>
      </c>
      <c r="K36" s="47">
        <f>[5]Tabelas_Consumos!I28</f>
        <v>39185.627260871879</v>
      </c>
      <c r="L36" s="47">
        <f>[5]Tabelas_Consumos!J28</f>
        <v>51412.782085233477</v>
      </c>
      <c r="M36" s="47">
        <f>[5]Tabelas_Consumos!K28</f>
        <v>52251.55224474796</v>
      </c>
      <c r="N36" s="47">
        <f>[5]Tabelas_Consumos!L28</f>
        <v>35303.52485232507</v>
      </c>
      <c r="O36" s="48">
        <f>[5]Tabelas_Consumos!M28</f>
        <v>34273.386791912373</v>
      </c>
      <c r="P36" s="1"/>
    </row>
    <row r="37" spans="1:17" x14ac:dyDescent="0.25">
      <c r="A37" s="44"/>
      <c r="B37" s="44"/>
      <c r="C37" s="45">
        <v>11</v>
      </c>
      <c r="D37" s="46">
        <f>[5]Tabelas_Consumos!B29</f>
        <v>43693.134752849845</v>
      </c>
      <c r="E37" s="47">
        <f>[5]Tabelas_Consumos!C29</f>
        <v>26197.960584204699</v>
      </c>
      <c r="F37" s="47">
        <f>[5]Tabelas_Consumos!D29</f>
        <v>28155.137263316341</v>
      </c>
      <c r="G37" s="47">
        <f>[5]Tabelas_Consumos!E29</f>
        <v>36977.347731536611</v>
      </c>
      <c r="H37" s="47">
        <f>[5]Tabelas_Consumos!F29</f>
        <v>61602.460319967562</v>
      </c>
      <c r="I37" s="47">
        <f>[5]Tabelas_Consumos!G29</f>
        <v>47994.533689326774</v>
      </c>
      <c r="J37" s="47">
        <f>[5]Tabelas_Consumos!H29</f>
        <v>38807.771366610839</v>
      </c>
      <c r="K37" s="47">
        <f>[5]Tabelas_Consumos!I29</f>
        <v>22423.580126002165</v>
      </c>
      <c r="L37" s="47">
        <f>[5]Tabelas_Consumos!J29</f>
        <v>31800.127362425039</v>
      </c>
      <c r="M37" s="47">
        <f>[5]Tabelas_Consumos!K29</f>
        <v>45362.649181079367</v>
      </c>
      <c r="N37" s="19">
        <f>[5]Tabelas_Consumos!L29</f>
        <v>33432.330631673634</v>
      </c>
      <c r="O37" s="48">
        <f>[5]Tabelas_Consumos!M29</f>
        <v>17590.499000000003</v>
      </c>
      <c r="P37" s="1"/>
    </row>
    <row r="38" spans="1:17" ht="15.75" thickBot="1" x14ac:dyDescent="0.3">
      <c r="A38" s="44"/>
      <c r="B38" s="49"/>
      <c r="C38" s="50">
        <v>12</v>
      </c>
      <c r="D38" s="51">
        <f>[3]Tabelas_Consumos!B29</f>
        <v>17220.528270771872</v>
      </c>
      <c r="E38" s="24">
        <f>[3]Tabelas_Consumos!C29</f>
        <v>24835.354193742962</v>
      </c>
      <c r="F38" s="24">
        <f>[3]Tabelas_Consumos!D29</f>
        <v>22041.958089885095</v>
      </c>
      <c r="G38" s="24">
        <f>[3]Tabelas_Consumos!E29</f>
        <v>28011.62790251373</v>
      </c>
      <c r="H38" s="24">
        <f>[3]Tabelas_Consumos!F29</f>
        <v>33854.595494317851</v>
      </c>
      <c r="I38" s="24">
        <f>[3]Tabelas_Consumos!G29</f>
        <v>38376.386902257764</v>
      </c>
      <c r="J38" s="24">
        <f>[3]Tabelas_Consumos!H29</f>
        <v>37237.985627467213</v>
      </c>
      <c r="K38" s="24">
        <f>[3]Tabelas_Consumos!I29</f>
        <v>27914.117877515582</v>
      </c>
      <c r="L38" s="24">
        <f>[3]Tabelas_Consumos!J29</f>
        <v>33536.126550031178</v>
      </c>
      <c r="M38" s="24">
        <f>[3]Tabelas_Consumos!K29</f>
        <v>23510.632472206024</v>
      </c>
      <c r="N38" s="24">
        <f>[3]Tabelas_Consumos!L29</f>
        <v>25103</v>
      </c>
      <c r="O38" s="25">
        <f>[3]Tabelas_Consumos!M29</f>
        <v>17953.376914968539</v>
      </c>
      <c r="P38" s="30"/>
      <c r="Q38" s="54"/>
    </row>
    <row r="39" spans="1:17" x14ac:dyDescent="0.25">
      <c r="A39" s="44"/>
      <c r="B39" s="39" t="s">
        <v>18</v>
      </c>
      <c r="C39" s="40" t="s">
        <v>58</v>
      </c>
      <c r="D39" s="41">
        <f>[1]Tabelas_Consumos!B30</f>
        <v>70193.243036965825</v>
      </c>
      <c r="E39" s="14">
        <f>[1]Tabelas_Consumos!C30</f>
        <v>68605.983160592092</v>
      </c>
      <c r="F39" s="14">
        <f>[1]Tabelas_Consumos!D30</f>
        <v>45648.066298143669</v>
      </c>
      <c r="G39" s="14">
        <f>[1]Tabelas_Consumos!E30</f>
        <v>14912.128869917491</v>
      </c>
      <c r="H39" s="14">
        <f>[1]Tabelas_Consumos!F30</f>
        <v>0</v>
      </c>
      <c r="I39" s="14">
        <f>[1]Tabelas_Consumos!G30</f>
        <v>0</v>
      </c>
      <c r="J39" s="14">
        <f>[1]Tabelas_Consumos!H30</f>
        <v>0.2422477154104854</v>
      </c>
      <c r="K39" s="14">
        <f>[1]Tabelas_Consumos!I30</f>
        <v>0</v>
      </c>
      <c r="L39" s="14">
        <f>[1]Tabelas_Consumos!J30</f>
        <v>0</v>
      </c>
      <c r="M39" s="14">
        <f>[1]Tabelas_Consumos!K30</f>
        <v>0</v>
      </c>
      <c r="N39" s="14">
        <f>[1]Tabelas_Consumos!L30</f>
        <v>18774.100705996192</v>
      </c>
      <c r="O39" s="15">
        <f>[1]Tabelas_Consumos!M30</f>
        <v>48817.311742493141</v>
      </c>
      <c r="P39" s="30"/>
      <c r="Q39" s="54"/>
    </row>
    <row r="40" spans="1:17" x14ac:dyDescent="0.25">
      <c r="A40" s="44"/>
      <c r="B40" s="44"/>
      <c r="C40" s="45" t="s">
        <v>59</v>
      </c>
      <c r="D40" s="46">
        <f>[4]Tabelas_Consumos!B30</f>
        <v>44112.814714775188</v>
      </c>
      <c r="E40" s="19">
        <f>[4]Tabelas_Consumos!C30</f>
        <v>42680.17097951311</v>
      </c>
      <c r="F40" s="19">
        <f>[4]Tabelas_Consumos!D30</f>
        <v>30419.847060619431</v>
      </c>
      <c r="G40" s="19">
        <f>[4]Tabelas_Consumos!E30</f>
        <v>4437.6955647029754</v>
      </c>
      <c r="H40" s="19">
        <f>[4]Tabelas_Consumos!F30</f>
        <v>0</v>
      </c>
      <c r="I40" s="19">
        <f>[4]Tabelas_Consumos!G30</f>
        <v>0</v>
      </c>
      <c r="J40" s="19">
        <f>[4]Tabelas_Consumos!H30</f>
        <v>0</v>
      </c>
      <c r="K40" s="19">
        <f>[4]Tabelas_Consumos!I30</f>
        <v>0</v>
      </c>
      <c r="L40" s="19">
        <f>[4]Tabelas_Consumos!J30</f>
        <v>0</v>
      </c>
      <c r="M40" s="19">
        <f>[4]Tabelas_Consumos!K30</f>
        <v>0</v>
      </c>
      <c r="N40" s="19">
        <f>[4]Tabelas_Consumos!L30</f>
        <v>26575.434607038609</v>
      </c>
      <c r="O40" s="20">
        <f>[4]Tabelas_Consumos!M30</f>
        <v>54551.722719929756</v>
      </c>
      <c r="P40" s="30"/>
      <c r="Q40" s="54"/>
    </row>
    <row r="41" spans="1:17" x14ac:dyDescent="0.25">
      <c r="A41" s="44"/>
      <c r="B41" s="44"/>
      <c r="C41" s="45" t="s">
        <v>60</v>
      </c>
      <c r="D41" s="46">
        <f>[4]Tabelas_Consumos!B31</f>
        <v>43019.778901109523</v>
      </c>
      <c r="E41" s="19">
        <f>[4]Tabelas_Consumos!C31</f>
        <v>45748.332254175672</v>
      </c>
      <c r="F41" s="19">
        <f>[4]Tabelas_Consumos!D31</f>
        <v>10797.693294321347</v>
      </c>
      <c r="G41" s="19">
        <f>[4]Tabelas_Consumos!E31</f>
        <v>1893.076149094537</v>
      </c>
      <c r="H41" s="19">
        <f>[4]Tabelas_Consumos!F31</f>
        <v>0</v>
      </c>
      <c r="I41" s="19">
        <f>[4]Tabelas_Consumos!G31</f>
        <v>0</v>
      </c>
      <c r="J41" s="19">
        <f>[4]Tabelas_Consumos!H31</f>
        <v>0</v>
      </c>
      <c r="K41" s="19">
        <f>[4]Tabelas_Consumos!I31</f>
        <v>0</v>
      </c>
      <c r="L41" s="19">
        <f>[4]Tabelas_Consumos!J31</f>
        <v>0</v>
      </c>
      <c r="M41" s="19">
        <f>[4]Tabelas_Consumos!K31</f>
        <v>0</v>
      </c>
      <c r="N41" s="19">
        <f>[4]Tabelas_Consumos!L31</f>
        <v>14262.839964488952</v>
      </c>
      <c r="O41" s="20">
        <f>[4]Tabelas_Consumos!M31</f>
        <v>35080.835786601107</v>
      </c>
      <c r="P41" s="30"/>
      <c r="Q41" s="54"/>
    </row>
    <row r="42" spans="1:17" x14ac:dyDescent="0.25">
      <c r="A42" s="44"/>
      <c r="B42" s="44"/>
      <c r="C42" s="45">
        <v>10</v>
      </c>
      <c r="D42" s="46">
        <f>[5]Tabelas_Consumos!B30</f>
        <v>55153.090915238208</v>
      </c>
      <c r="E42" s="19">
        <f>[5]Tabelas_Consumos!C30</f>
        <v>53153.98805988198</v>
      </c>
      <c r="F42" s="19">
        <f>[5]Tabelas_Consumos!D30</f>
        <v>38671.59500104902</v>
      </c>
      <c r="G42" s="19">
        <f>[5]Tabelas_Consumos!E30</f>
        <v>4230.7828027557507</v>
      </c>
      <c r="H42" s="19">
        <f>[5]Tabelas_Consumos!F30</f>
        <v>0</v>
      </c>
      <c r="I42" s="19">
        <f>[5]Tabelas_Consumos!G30</f>
        <v>0</v>
      </c>
      <c r="J42" s="19">
        <f>[5]Tabelas_Consumos!H30</f>
        <v>0</v>
      </c>
      <c r="K42" s="19">
        <f>[5]Tabelas_Consumos!I30</f>
        <v>0</v>
      </c>
      <c r="L42" s="19">
        <f>[5]Tabelas_Consumos!J30</f>
        <v>0</v>
      </c>
      <c r="M42" s="19">
        <f>[5]Tabelas_Consumos!K30</f>
        <v>0</v>
      </c>
      <c r="N42" s="19">
        <f>[5]Tabelas_Consumos!L30</f>
        <v>13345.566426463309</v>
      </c>
      <c r="O42" s="20">
        <f>[5]Tabelas_Consumos!M30</f>
        <v>39029.459269235645</v>
      </c>
      <c r="P42" s="30"/>
      <c r="Q42" s="54"/>
    </row>
    <row r="43" spans="1:17" x14ac:dyDescent="0.25">
      <c r="A43" s="44"/>
      <c r="B43" s="44"/>
      <c r="C43" s="45">
        <v>11</v>
      </c>
      <c r="D43" s="46">
        <f>[5]Tabelas_Consumos!B31</f>
        <v>65617.485752031207</v>
      </c>
      <c r="E43" s="19">
        <f>[5]Tabelas_Consumos!C31</f>
        <v>27117.697586190854</v>
      </c>
      <c r="F43" s="19">
        <f>[5]Tabelas_Consumos!D31</f>
        <v>14129.833724041237</v>
      </c>
      <c r="G43" s="19">
        <f>[5]Tabelas_Consumos!E31</f>
        <v>0</v>
      </c>
      <c r="H43" s="19">
        <f>[5]Tabelas_Consumos!F31</f>
        <v>0</v>
      </c>
      <c r="I43" s="19">
        <f>[5]Tabelas_Consumos!G31</f>
        <v>0</v>
      </c>
      <c r="J43" s="19">
        <f>[5]Tabelas_Consumos!H31</f>
        <v>0</v>
      </c>
      <c r="K43" s="19">
        <f>[5]Tabelas_Consumos!I31</f>
        <v>0</v>
      </c>
      <c r="L43" s="19">
        <f>[5]Tabelas_Consumos!J31</f>
        <v>0</v>
      </c>
      <c r="M43" s="19">
        <f>[5]Tabelas_Consumos!K31</f>
        <v>0</v>
      </c>
      <c r="N43" s="19">
        <f>[5]Tabelas_Consumos!L31</f>
        <v>30953.123001724205</v>
      </c>
      <c r="O43" s="20">
        <f>[5]Tabelas_Consumos!M31</f>
        <v>33342.519851368583</v>
      </c>
      <c r="P43" s="30"/>
      <c r="Q43" s="54"/>
    </row>
    <row r="44" spans="1:17" ht="15.75" thickBot="1" x14ac:dyDescent="0.3">
      <c r="A44" s="49"/>
      <c r="B44" s="49"/>
      <c r="C44" s="50">
        <v>12</v>
      </c>
      <c r="D44" s="51">
        <f>[3]Tabelas_Consumos!B31</f>
        <v>29826.638901618975</v>
      </c>
      <c r="E44" s="24">
        <f>[3]Tabelas_Consumos!C31</f>
        <v>62981.735460049516</v>
      </c>
      <c r="F44" s="24">
        <f>[3]Tabelas_Consumos!D31</f>
        <v>9521.7829494494545</v>
      </c>
      <c r="G44" s="24">
        <f>[3]Tabelas_Consumos!E31</f>
        <v>8285.48098593127</v>
      </c>
      <c r="H44" s="24">
        <f>[3]Tabelas_Consumos!F31</f>
        <v>1471.1097520812054</v>
      </c>
      <c r="I44" s="24">
        <f>[3]Tabelas_Consumos!G31</f>
        <v>0</v>
      </c>
      <c r="J44" s="24">
        <f>[3]Tabelas_Consumos!H31</f>
        <v>0</v>
      </c>
      <c r="K44" s="24">
        <f>[3]Tabelas_Consumos!I31</f>
        <v>0</v>
      </c>
      <c r="L44" s="24">
        <f>[3]Tabelas_Consumos!J31</f>
        <v>0</v>
      </c>
      <c r="M44" s="24">
        <f>[3]Tabelas_Consumos!K31</f>
        <v>1316.3492891218398</v>
      </c>
      <c r="N44" s="24">
        <f>[3]Tabelas_Consumos!L31</f>
        <v>15353</v>
      </c>
      <c r="O44" s="25">
        <f>[3]Tabelas_Consumos!M31</f>
        <v>30678.327523449421</v>
      </c>
      <c r="P44" s="30"/>
      <c r="Q44" s="54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7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7" ht="15.75" thickBot="1" x14ac:dyDescent="0.3">
      <c r="A47" s="3" t="s">
        <v>62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1"/>
    </row>
    <row r="48" spans="1:17" ht="15.75" thickBot="1" x14ac:dyDescent="0.3">
      <c r="A48" s="6" t="s">
        <v>55</v>
      </c>
      <c r="B48" s="6" t="s">
        <v>56</v>
      </c>
      <c r="C48" s="6" t="s">
        <v>57</v>
      </c>
      <c r="D48" s="38" t="s">
        <v>25</v>
      </c>
      <c r="E48" s="7" t="s">
        <v>28</v>
      </c>
      <c r="F48" s="7" t="s">
        <v>30</v>
      </c>
      <c r="G48" s="8" t="s">
        <v>32</v>
      </c>
      <c r="H48" s="8" t="s">
        <v>34</v>
      </c>
      <c r="I48" s="8" t="s">
        <v>36</v>
      </c>
      <c r="J48" s="8" t="s">
        <v>38</v>
      </c>
      <c r="K48" s="8" t="s">
        <v>40</v>
      </c>
      <c r="L48" s="8" t="s">
        <v>42</v>
      </c>
      <c r="M48" s="8" t="s">
        <v>44</v>
      </c>
      <c r="N48" s="8" t="s">
        <v>46</v>
      </c>
      <c r="O48" s="9" t="s">
        <v>48</v>
      </c>
      <c r="P48" s="1"/>
    </row>
    <row r="49" spans="1:17" x14ac:dyDescent="0.25">
      <c r="A49" s="39" t="s">
        <v>53</v>
      </c>
      <c r="B49" s="39" t="s">
        <v>13</v>
      </c>
      <c r="C49" s="40" t="s">
        <v>58</v>
      </c>
      <c r="D49" s="41">
        <f>[1]Tabelas_Consumos!B16</f>
        <v>147825.55111411825</v>
      </c>
      <c r="E49" s="42">
        <f>[1]Tabelas_Consumos!C16</f>
        <v>115452.8698370107</v>
      </c>
      <c r="F49" s="42">
        <f>[1]Tabelas_Consumos!D16</f>
        <v>111903.14194991237</v>
      </c>
      <c r="G49" s="42">
        <f>[1]Tabelas_Consumos!E16</f>
        <v>95970.036511786719</v>
      </c>
      <c r="H49" s="42">
        <f>[1]Tabelas_Consumos!F16</f>
        <v>106536.42834000879</v>
      </c>
      <c r="I49" s="42">
        <f>[1]Tabelas_Consumos!G16</f>
        <v>125524.40926980792</v>
      </c>
      <c r="J49" s="42">
        <f>[1]Tabelas_Consumos!H16</f>
        <v>137624.54105597417</v>
      </c>
      <c r="K49" s="42">
        <f>[1]Tabelas_Consumos!I16</f>
        <v>150417.92678118157</v>
      </c>
      <c r="L49" s="42">
        <f>[1]Tabelas_Consumos!J16</f>
        <v>128665.57848618401</v>
      </c>
      <c r="M49" s="42">
        <f>[1]Tabelas_Consumos!K16</f>
        <v>127850.10291017215</v>
      </c>
      <c r="N49" s="42">
        <f>[1]Tabelas_Consumos!L16</f>
        <v>144501.4727832666</v>
      </c>
      <c r="O49" s="43">
        <f>[1]Tabelas_Consumos!M16</f>
        <v>162917.20865183364</v>
      </c>
      <c r="P49" s="1"/>
    </row>
    <row r="50" spans="1:17" x14ac:dyDescent="0.25">
      <c r="A50" s="44"/>
      <c r="B50" s="44"/>
      <c r="C50" s="45" t="s">
        <v>59</v>
      </c>
      <c r="D50" s="46">
        <f>[4]Tabelas_Consumos!B16</f>
        <v>168376.92508732941</v>
      </c>
      <c r="E50" s="47">
        <f>[4]Tabelas_Consumos!C16</f>
        <v>139221.38981472439</v>
      </c>
      <c r="F50" s="47">
        <f>[4]Tabelas_Consumos!D16</f>
        <v>132921.15613325813</v>
      </c>
      <c r="G50" s="47">
        <f>[4]Tabelas_Consumos!E16</f>
        <v>121844.24581486464</v>
      </c>
      <c r="H50" s="47">
        <f>[4]Tabelas_Consumos!F16</f>
        <v>132695.65366928131</v>
      </c>
      <c r="I50" s="47">
        <f>[4]Tabelas_Consumos!G16</f>
        <v>113789.0622277287</v>
      </c>
      <c r="J50" s="47">
        <f>[4]Tabelas_Consumos!H16</f>
        <v>128130.79070343323</v>
      </c>
      <c r="K50" s="47">
        <f>[4]Tabelas_Consumos!I16</f>
        <v>119879.01668668447</v>
      </c>
      <c r="L50" s="47">
        <f>[4]Tabelas_Consumos!J16</f>
        <v>114438.22967897165</v>
      </c>
      <c r="M50" s="47">
        <f>[4]Tabelas_Consumos!K16</f>
        <v>125483.54761291607</v>
      </c>
      <c r="N50" s="47">
        <f>[4]Tabelas_Consumos!L16</f>
        <v>132629.20821754538</v>
      </c>
      <c r="O50" s="48">
        <f>[4]Tabelas_Consumos!M16</f>
        <v>147920.08639782105</v>
      </c>
      <c r="P50" s="1"/>
    </row>
    <row r="51" spans="1:17" x14ac:dyDescent="0.25">
      <c r="A51" s="44"/>
      <c r="B51" s="44"/>
      <c r="C51" s="45" t="s">
        <v>60</v>
      </c>
      <c r="D51" s="46">
        <f>[4]Tabelas_Consumos!B17</f>
        <v>140087.10681812651</v>
      </c>
      <c r="E51" s="47">
        <f>[4]Tabelas_Consumos!C17</f>
        <v>116252.54445727274</v>
      </c>
      <c r="F51" s="47">
        <f>[4]Tabelas_Consumos!D17</f>
        <v>131337.83105237747</v>
      </c>
      <c r="G51" s="47">
        <f>[4]Tabelas_Consumos!E17</f>
        <v>125682.52263945162</v>
      </c>
      <c r="H51" s="47">
        <f>[4]Tabelas_Consumos!F17</f>
        <v>130760.56474299387</v>
      </c>
      <c r="I51" s="47">
        <f>[4]Tabelas_Consumos!G17</f>
        <v>131385.84123325071</v>
      </c>
      <c r="J51" s="47">
        <f>[4]Tabelas_Consumos!H17</f>
        <v>139434.38179434335</v>
      </c>
      <c r="K51" s="47">
        <f>[4]Tabelas_Consumos!I17</f>
        <v>141364.9790096065</v>
      </c>
      <c r="L51" s="47">
        <f>[4]Tabelas_Consumos!J17</f>
        <v>117901.30646513788</v>
      </c>
      <c r="M51" s="47">
        <f>[4]Tabelas_Consumos!K17</f>
        <v>133633.97852607348</v>
      </c>
      <c r="N51" s="47">
        <f>[4]Tabelas_Consumos!L17</f>
        <v>128275.30878648552</v>
      </c>
      <c r="O51" s="48">
        <f>[4]Tabelas_Consumos!M17</f>
        <v>141105.35433587138</v>
      </c>
      <c r="P51" s="55"/>
    </row>
    <row r="52" spans="1:17" x14ac:dyDescent="0.25">
      <c r="A52" s="44"/>
      <c r="B52" s="44"/>
      <c r="C52" s="45">
        <v>10</v>
      </c>
      <c r="D52" s="46">
        <f>[5]Tabelas_Consumos!B16</f>
        <v>146213.00855721527</v>
      </c>
      <c r="E52" s="47">
        <f>[5]Tabelas_Consumos!C16</f>
        <v>130767.8468795591</v>
      </c>
      <c r="F52" s="47">
        <f>[5]Tabelas_Consumos!D16</f>
        <v>144555.9320208868</v>
      </c>
      <c r="G52" s="47">
        <f>[5]Tabelas_Consumos!E16</f>
        <v>132991.55104399141</v>
      </c>
      <c r="H52" s="47">
        <f>[5]Tabelas_Consumos!F16</f>
        <v>131967.52580517324</v>
      </c>
      <c r="I52" s="47">
        <f>[5]Tabelas_Consumos!G16</f>
        <v>123843.23081077928</v>
      </c>
      <c r="J52" s="47">
        <f>[5]Tabelas_Consumos!H16</f>
        <v>127201.16788484556</v>
      </c>
      <c r="K52" s="47">
        <f>[5]Tabelas_Consumos!I16</f>
        <v>134825.0943754341</v>
      </c>
      <c r="L52" s="47">
        <f>[5]Tabelas_Consumos!J16</f>
        <v>128389.23173493684</v>
      </c>
      <c r="M52" s="47">
        <f>[5]Tabelas_Consumos!K16</f>
        <v>136916.0721547498</v>
      </c>
      <c r="N52" s="47">
        <f>[5]Tabelas_Consumos!L16</f>
        <v>123438.49333769016</v>
      </c>
      <c r="O52" s="48">
        <f>[5]Tabelas_Consumos!M16</f>
        <v>143244.22021197301</v>
      </c>
      <c r="P52" s="1"/>
    </row>
    <row r="53" spans="1:17" x14ac:dyDescent="0.25">
      <c r="A53" s="44"/>
      <c r="B53" s="44"/>
      <c r="C53" s="45">
        <v>11</v>
      </c>
      <c r="D53" s="46">
        <f>[3]Tabelas_Consumos!B16</f>
        <v>150015.95421679007</v>
      </c>
      <c r="E53" s="47">
        <f>[3]Tabelas_Consumos!C16</f>
        <v>129443.63808783038</v>
      </c>
      <c r="F53" s="47">
        <f>[3]Tabelas_Consumos!D16</f>
        <v>139735.14433080729</v>
      </c>
      <c r="G53" s="47">
        <f>[3]Tabelas_Consumos!E16</f>
        <v>128495.02133175053</v>
      </c>
      <c r="H53" s="47">
        <f>[3]Tabelas_Consumos!F16</f>
        <v>125640.05800207907</v>
      </c>
      <c r="I53" s="47">
        <f>[3]Tabelas_Consumos!G16</f>
        <v>115733.84071722592</v>
      </c>
      <c r="J53" s="47">
        <f>[3]Tabelas_Consumos!H16</f>
        <v>138841.00520921731</v>
      </c>
      <c r="K53" s="47">
        <f>[3]Tabelas_Consumos!I16</f>
        <v>131711.52810503606</v>
      </c>
      <c r="L53" s="47">
        <f>[3]Tabelas_Consumos!J16</f>
        <v>130233.22299183604</v>
      </c>
      <c r="M53" s="47">
        <f>[3]Tabelas_Consumos!K16</f>
        <v>128678.06952045469</v>
      </c>
      <c r="N53" s="47">
        <f>[3]Tabelas_Consumos!L16</f>
        <v>129225.61789198764</v>
      </c>
      <c r="O53" s="48">
        <f>[3]Tabelas_Consumos!M16</f>
        <v>134463.01604962884</v>
      </c>
      <c r="P53" s="1"/>
    </row>
    <row r="54" spans="1:17" ht="15.75" thickBot="1" x14ac:dyDescent="0.3">
      <c r="A54" s="44"/>
      <c r="B54" s="49"/>
      <c r="C54" s="50">
        <v>12</v>
      </c>
      <c r="D54" s="51">
        <f>[3]Tabelas_Consumos!B17</f>
        <v>133777.53196069587</v>
      </c>
      <c r="E54" s="52">
        <f>[3]Tabelas_Consumos!C17</f>
        <v>127949.45974578116</v>
      </c>
      <c r="F54" s="52">
        <f>[3]Tabelas_Consumos!D17</f>
        <v>159157.03824801941</v>
      </c>
      <c r="G54" s="52">
        <f>[3]Tabelas_Consumos!E17</f>
        <v>126542.34972613362</v>
      </c>
      <c r="H54" s="52">
        <f>[3]Tabelas_Consumos!F17</f>
        <v>123452.76761464005</v>
      </c>
      <c r="I54" s="52">
        <f>[3]Tabelas_Consumos!G17</f>
        <v>127052.67340196794</v>
      </c>
      <c r="J54" s="52">
        <f>[3]Tabelas_Consumos!H17</f>
        <v>127727.84481790484</v>
      </c>
      <c r="K54" s="52">
        <f>[3]Tabelas_Consumos!I17</f>
        <v>136852.02737624667</v>
      </c>
      <c r="L54" s="52">
        <f>[3]Tabelas_Consumos!J17</f>
        <v>134536.6344871365</v>
      </c>
      <c r="M54" s="52">
        <f>[3]Tabelas_Consumos!K17</f>
        <v>138139.03667900219</v>
      </c>
      <c r="N54" s="52">
        <f>[3]Tabelas_Consumos!L17</f>
        <v>155739.12646136878</v>
      </c>
      <c r="O54" s="53">
        <f>[3]Tabelas_Consumos!M17</f>
        <v>134925.27196460578</v>
      </c>
      <c r="P54" s="1"/>
    </row>
    <row r="55" spans="1:17" x14ac:dyDescent="0.25">
      <c r="A55" s="44"/>
      <c r="B55" s="39" t="s">
        <v>16</v>
      </c>
      <c r="C55" s="40" t="s">
        <v>58</v>
      </c>
      <c r="D55" s="41">
        <f>[1]Tabelas_Consumos!B35</f>
        <v>72680.782218930544</v>
      </c>
      <c r="E55" s="42">
        <f>[1]Tabelas_Consumos!C35</f>
        <v>66859.89554325903</v>
      </c>
      <c r="F55" s="42">
        <f>[1]Tabelas_Consumos!D35</f>
        <v>54634.771683628758</v>
      </c>
      <c r="G55" s="42">
        <f>[1]Tabelas_Consumos!E35</f>
        <v>39084.584638936954</v>
      </c>
      <c r="H55" s="42">
        <f>[1]Tabelas_Consumos!F35</f>
        <v>41790.44160560413</v>
      </c>
      <c r="I55" s="42">
        <f>[1]Tabelas_Consumos!G35</f>
        <v>70235.085773907442</v>
      </c>
      <c r="J55" s="42">
        <f>[1]Tabelas_Consumos!H35</f>
        <v>114834.3729481567</v>
      </c>
      <c r="K55" s="42">
        <f>[1]Tabelas_Consumos!I35</f>
        <v>119369.94055032027</v>
      </c>
      <c r="L55" s="42">
        <f>[1]Tabelas_Consumos!J35</f>
        <v>104330.85053452717</v>
      </c>
      <c r="M55" s="42">
        <f>[1]Tabelas_Consumos!K35</f>
        <v>75215.409542046851</v>
      </c>
      <c r="N55" s="42">
        <f>[1]Tabelas_Consumos!L35</f>
        <v>73249.546373437828</v>
      </c>
      <c r="O55" s="43">
        <f>[1]Tabelas_Consumos!M35</f>
        <v>74594.027071535369</v>
      </c>
      <c r="P55" s="1"/>
    </row>
    <row r="56" spans="1:17" x14ac:dyDescent="0.25">
      <c r="A56" s="44"/>
      <c r="B56" s="44"/>
      <c r="C56" s="45" t="s">
        <v>59</v>
      </c>
      <c r="D56" s="46">
        <f>[4]Tabelas_Consumos!B35</f>
        <v>82710.631760324919</v>
      </c>
      <c r="E56" s="19">
        <f>[4]Tabelas_Consumos!C35</f>
        <v>74461.075334167341</v>
      </c>
      <c r="F56" s="19">
        <f>[4]Tabelas_Consumos!D35</f>
        <v>73817.494341867408</v>
      </c>
      <c r="G56" s="19">
        <f>[4]Tabelas_Consumos!E35</f>
        <v>63096.926568178787</v>
      </c>
      <c r="H56" s="19">
        <f>[4]Tabelas_Consumos!F35</f>
        <v>72425.523100925318</v>
      </c>
      <c r="I56" s="19">
        <f>[4]Tabelas_Consumos!G35</f>
        <v>102106.58044409135</v>
      </c>
      <c r="J56" s="19">
        <f>[4]Tabelas_Consumos!H35</f>
        <v>128876.07660069615</v>
      </c>
      <c r="K56" s="19">
        <f>[4]Tabelas_Consumos!I35</f>
        <v>141651.24167574741</v>
      </c>
      <c r="L56" s="19">
        <f>[4]Tabelas_Consumos!J35</f>
        <v>119224.49004263975</v>
      </c>
      <c r="M56" s="19">
        <f>[4]Tabelas_Consumos!K35</f>
        <v>76913.517110882865</v>
      </c>
      <c r="N56" s="19">
        <f>[4]Tabelas_Consumos!L35</f>
        <v>67559.45749445603</v>
      </c>
      <c r="O56" s="20">
        <f>[4]Tabelas_Consumos!M35</f>
        <v>90290.406522406905</v>
      </c>
      <c r="P56" s="30"/>
      <c r="Q56" s="54"/>
    </row>
    <row r="57" spans="1:17" x14ac:dyDescent="0.25">
      <c r="A57" s="44"/>
      <c r="B57" s="44"/>
      <c r="C57" s="45" t="s">
        <v>60</v>
      </c>
      <c r="D57" s="46">
        <f>[4]Tabelas_Consumos!B36</f>
        <v>81538.180583226043</v>
      </c>
      <c r="E57" s="19">
        <f>[4]Tabelas_Consumos!C36</f>
        <v>67425.910865990096</v>
      </c>
      <c r="F57" s="19">
        <f>[4]Tabelas_Consumos!D36</f>
        <v>93748.208196884574</v>
      </c>
      <c r="G57" s="19">
        <f>[4]Tabelas_Consumos!E36</f>
        <v>85789.047513720405</v>
      </c>
      <c r="H57" s="19">
        <f>[4]Tabelas_Consumos!F36</f>
        <v>78924.601152306815</v>
      </c>
      <c r="I57" s="19">
        <f>[4]Tabelas_Consumos!G36</f>
        <v>116195.12179374056</v>
      </c>
      <c r="J57" s="19">
        <f>[4]Tabelas_Consumos!H36</f>
        <v>142398.80861637159</v>
      </c>
      <c r="K57" s="19">
        <f>[4]Tabelas_Consumos!I36</f>
        <v>132895.85290239714</v>
      </c>
      <c r="L57" s="19">
        <f>[4]Tabelas_Consumos!J36</f>
        <v>91919.900552149076</v>
      </c>
      <c r="M57" s="19">
        <f>[4]Tabelas_Consumos!K36</f>
        <v>100807.17516798031</v>
      </c>
      <c r="N57" s="19">
        <f>[4]Tabelas_Consumos!L36</f>
        <v>79895.463180285398</v>
      </c>
      <c r="O57" s="20">
        <f>[4]Tabelas_Consumos!M36</f>
        <v>90027.883668210663</v>
      </c>
      <c r="P57" s="27"/>
      <c r="Q57" s="54"/>
    </row>
    <row r="58" spans="1:17" x14ac:dyDescent="0.25">
      <c r="A58" s="44"/>
      <c r="B58" s="44"/>
      <c r="C58" s="45">
        <v>10</v>
      </c>
      <c r="D58" s="46">
        <f>[5]Tabelas_Consumos!B35</f>
        <v>87537.348146829783</v>
      </c>
      <c r="E58" s="19">
        <f>[5]Tabelas_Consumos!C35</f>
        <v>73717.073515535521</v>
      </c>
      <c r="F58" s="19">
        <f>[5]Tabelas_Consumos!D35</f>
        <v>101631.62716054257</v>
      </c>
      <c r="G58" s="19">
        <f>[5]Tabelas_Consumos!E35</f>
        <v>96368.344433453458</v>
      </c>
      <c r="H58" s="19">
        <f>[5]Tabelas_Consumos!F35</f>
        <v>99561.751812483199</v>
      </c>
      <c r="I58" s="19">
        <f>[5]Tabelas_Consumos!G35</f>
        <v>116555.6375987557</v>
      </c>
      <c r="J58" s="19">
        <f>[5]Tabelas_Consumos!H35</f>
        <v>161098.63375615171</v>
      </c>
      <c r="K58" s="19">
        <f>[5]Tabelas_Consumos!I35</f>
        <v>168555.70220596343</v>
      </c>
      <c r="L58" s="19">
        <f>[5]Tabelas_Consumos!J35</f>
        <v>113138.42343703382</v>
      </c>
      <c r="M58" s="19">
        <f>[5]Tabelas_Consumos!K35</f>
        <v>72605.788126513988</v>
      </c>
      <c r="N58" s="19">
        <f>[5]Tabelas_Consumos!L35</f>
        <v>62892.787302829252</v>
      </c>
      <c r="O58" s="20">
        <f>[5]Tabelas_Consumos!M35</f>
        <v>82432.988703297451</v>
      </c>
      <c r="P58" s="30"/>
      <c r="Q58" s="54"/>
    </row>
    <row r="59" spans="1:17" x14ac:dyDescent="0.25">
      <c r="A59" s="44"/>
      <c r="B59" s="44"/>
      <c r="C59" s="45">
        <v>11</v>
      </c>
      <c r="D59" s="46">
        <f>[3]Tabelas_Consumos!B35</f>
        <v>75261.80113976862</v>
      </c>
      <c r="E59" s="19">
        <f>[3]Tabelas_Consumos!C35</f>
        <v>53813.18689699204</v>
      </c>
      <c r="F59" s="19">
        <f>[3]Tabelas_Consumos!D35</f>
        <v>68765.723398249349</v>
      </c>
      <c r="G59" s="19">
        <f>[3]Tabelas_Consumos!E35</f>
        <v>72344.153473920334</v>
      </c>
      <c r="H59" s="19">
        <f>[3]Tabelas_Consumos!F35</f>
        <v>77765.692287899379</v>
      </c>
      <c r="I59" s="19">
        <f>[3]Tabelas_Consumos!G35</f>
        <v>81294.607802990897</v>
      </c>
      <c r="J59" s="19">
        <f>[3]Tabelas_Consumos!H35</f>
        <v>105431.35105604967</v>
      </c>
      <c r="K59" s="19">
        <f>[3]Tabelas_Consumos!I35</f>
        <v>89050.57669344313</v>
      </c>
      <c r="L59" s="19">
        <f>[3]Tabelas_Consumos!J35</f>
        <v>76112.226982569075</v>
      </c>
      <c r="M59" s="19">
        <f>[3]Tabelas_Consumos!K35</f>
        <v>61034.828464313527</v>
      </c>
      <c r="N59" s="19">
        <f>[3]Tabelas_Consumos!L35</f>
        <v>37597.62075932166</v>
      </c>
      <c r="O59" s="20">
        <f>[3]Tabelas_Consumos!M35</f>
        <v>28605.900352011638</v>
      </c>
      <c r="P59" s="30"/>
      <c r="Q59" s="54"/>
    </row>
    <row r="60" spans="1:17" ht="15.75" thickBot="1" x14ac:dyDescent="0.3">
      <c r="A60" s="44"/>
      <c r="B60" s="49"/>
      <c r="C60" s="50">
        <v>12</v>
      </c>
      <c r="D60" s="51">
        <f>[3]Tabelas_Consumos!B36</f>
        <v>33096.102576553181</v>
      </c>
      <c r="E60" s="24">
        <f>[3]Tabelas_Consumos!C36</f>
        <v>57494.130813979085</v>
      </c>
      <c r="F60" s="24">
        <f>[3]Tabelas_Consumos!D36</f>
        <v>79346.511025518266</v>
      </c>
      <c r="G60" s="24">
        <f>[3]Tabelas_Consumos!E36</f>
        <v>84157.079301883947</v>
      </c>
      <c r="H60" s="24">
        <f>[3]Tabelas_Consumos!F36</f>
        <v>128030.58759126261</v>
      </c>
      <c r="I60" s="24">
        <f>[3]Tabelas_Consumos!G36</f>
        <v>145470.15700288635</v>
      </c>
      <c r="J60" s="24">
        <f>[3]Tabelas_Consumos!H36</f>
        <v>153850.76893798754</v>
      </c>
      <c r="K60" s="24">
        <f>[3]Tabelas_Consumos!I36</f>
        <v>155124.03013527708</v>
      </c>
      <c r="L60" s="24">
        <f>[3]Tabelas_Consumos!J36</f>
        <v>159583.15679684366</v>
      </c>
      <c r="M60" s="24">
        <f>[3]Tabelas_Consumos!K36</f>
        <v>112365.37581356632</v>
      </c>
      <c r="N60" s="24">
        <f>[3]Tabelas_Consumos!L36</f>
        <v>89296.298693724122</v>
      </c>
      <c r="O60" s="25">
        <f>[3]Tabelas_Consumos!M36</f>
        <v>39503.335890452938</v>
      </c>
      <c r="P60" s="30"/>
      <c r="Q60" s="54"/>
    </row>
    <row r="61" spans="1:17" x14ac:dyDescent="0.25">
      <c r="A61" s="44"/>
      <c r="B61" s="39" t="s">
        <v>18</v>
      </c>
      <c r="C61" s="40" t="s">
        <v>58</v>
      </c>
      <c r="D61" s="41">
        <f>[1]Tabelas_Consumos!B37</f>
        <v>217210.02406967728</v>
      </c>
      <c r="E61" s="14">
        <f>[1]Tabelas_Consumos!C37</f>
        <v>178614.12836928578</v>
      </c>
      <c r="F61" s="14">
        <f>[1]Tabelas_Consumos!D37</f>
        <v>76935.093489080187</v>
      </c>
      <c r="G61" s="14">
        <f>[1]Tabelas_Consumos!E37</f>
        <v>18086.720773724825</v>
      </c>
      <c r="H61" s="14">
        <f>[1]Tabelas_Consumos!F37</f>
        <v>0</v>
      </c>
      <c r="I61" s="14">
        <f>[1]Tabelas_Consumos!G37</f>
        <v>0</v>
      </c>
      <c r="J61" s="14">
        <f>[1]Tabelas_Consumos!H37</f>
        <v>-8.8746591442031786E-2</v>
      </c>
      <c r="K61" s="14">
        <f>[1]Tabelas_Consumos!I37</f>
        <v>0</v>
      </c>
      <c r="L61" s="14">
        <f>[1]Tabelas_Consumos!J37</f>
        <v>0</v>
      </c>
      <c r="M61" s="14">
        <f>[1]Tabelas_Consumos!K37</f>
        <v>0</v>
      </c>
      <c r="N61" s="14">
        <f>[1]Tabelas_Consumos!L37</f>
        <v>47905.02581882228</v>
      </c>
      <c r="O61" s="15">
        <f>[1]Tabelas_Consumos!M37</f>
        <v>150270.17770346755</v>
      </c>
      <c r="P61" s="30"/>
      <c r="Q61" s="54"/>
    </row>
    <row r="62" spans="1:17" x14ac:dyDescent="0.25">
      <c r="A62" s="44"/>
      <c r="B62" s="44"/>
      <c r="C62" s="45" t="s">
        <v>59</v>
      </c>
      <c r="D62" s="46">
        <f>[1]Tabelas_Consumos!B38</f>
        <v>153066.16323704773</v>
      </c>
      <c r="E62" s="19">
        <f>[1]Tabelas_Consumos!C38</f>
        <v>120741.73466298138</v>
      </c>
      <c r="F62" s="19">
        <f>[1]Tabelas_Consumos!D38</f>
        <v>78126.933898869916</v>
      </c>
      <c r="G62" s="19">
        <f>[1]Tabelas_Consumos!E38</f>
        <v>9435.2762123677894</v>
      </c>
      <c r="H62" s="19">
        <f>[1]Tabelas_Consumos!F38</f>
        <v>0</v>
      </c>
      <c r="I62" s="19">
        <f>[1]Tabelas_Consumos!G38</f>
        <v>0</v>
      </c>
      <c r="J62" s="19">
        <f>[1]Tabelas_Consumos!H38</f>
        <v>0</v>
      </c>
      <c r="K62" s="19">
        <f>[1]Tabelas_Consumos!I38</f>
        <v>0</v>
      </c>
      <c r="L62" s="19">
        <f>[1]Tabelas_Consumos!J38</f>
        <v>0</v>
      </c>
      <c r="M62" s="19">
        <f>[1]Tabelas_Consumos!K38</f>
        <v>0</v>
      </c>
      <c r="N62" s="19">
        <f>[1]Tabelas_Consumos!L38</f>
        <v>91858.736523218278</v>
      </c>
      <c r="O62" s="20">
        <f>[1]Tabelas_Consumos!M38</f>
        <v>183578.15404298942</v>
      </c>
      <c r="P62" s="30"/>
      <c r="Q62" s="54"/>
    </row>
    <row r="63" spans="1:17" x14ac:dyDescent="0.25">
      <c r="A63" s="44"/>
      <c r="B63" s="44"/>
      <c r="C63" s="45" t="s">
        <v>60</v>
      </c>
      <c r="D63" s="46">
        <f>[4]Tabelas_Consumos!B38</f>
        <v>226545.46553327411</v>
      </c>
      <c r="E63" s="19">
        <f>[4]Tabelas_Consumos!C38</f>
        <v>147573.38022015718</v>
      </c>
      <c r="F63" s="19">
        <f>[4]Tabelas_Consumos!D38</f>
        <v>49131.64707028347</v>
      </c>
      <c r="G63" s="19">
        <f>[4]Tabelas_Consumos!E38</f>
        <v>7021.8405730390004</v>
      </c>
      <c r="H63" s="19">
        <f>[4]Tabelas_Consumos!F38</f>
        <v>0</v>
      </c>
      <c r="I63" s="19">
        <f>[4]Tabelas_Consumos!G38</f>
        <v>0</v>
      </c>
      <c r="J63" s="19">
        <f>[4]Tabelas_Consumos!H38</f>
        <v>0</v>
      </c>
      <c r="K63" s="19">
        <f>[4]Tabelas_Consumos!I38</f>
        <v>0</v>
      </c>
      <c r="L63" s="19">
        <f>[4]Tabelas_Consumos!J38</f>
        <v>0</v>
      </c>
      <c r="M63" s="19">
        <f>[4]Tabelas_Consumos!K38</f>
        <v>0</v>
      </c>
      <c r="N63" s="19">
        <f>[4]Tabelas_Consumos!L38</f>
        <v>35679.16117078274</v>
      </c>
      <c r="O63" s="20">
        <f>[4]Tabelas_Consumos!M38</f>
        <v>148805.59677716807</v>
      </c>
      <c r="P63" s="30"/>
      <c r="Q63" s="54"/>
    </row>
    <row r="64" spans="1:17" x14ac:dyDescent="0.25">
      <c r="A64" s="44"/>
      <c r="B64" s="44"/>
      <c r="C64" s="45">
        <v>10</v>
      </c>
      <c r="D64" s="46">
        <f>[5]Tabelas_Consumos!B37</f>
        <v>177403.63066994239</v>
      </c>
      <c r="E64" s="19">
        <f>[5]Tabelas_Consumos!C37</f>
        <v>173883.40008417214</v>
      </c>
      <c r="F64" s="19">
        <f>[5]Tabelas_Consumos!D37</f>
        <v>158428.39409871685</v>
      </c>
      <c r="G64" s="19">
        <f>[5]Tabelas_Consumos!E37</f>
        <v>16905.769992250735</v>
      </c>
      <c r="H64" s="19">
        <f>[5]Tabelas_Consumos!F37</f>
        <v>0</v>
      </c>
      <c r="I64" s="19">
        <f>[5]Tabelas_Consumos!G37</f>
        <v>0</v>
      </c>
      <c r="J64" s="19">
        <f>[5]Tabelas_Consumos!H37</f>
        <v>0</v>
      </c>
      <c r="K64" s="19">
        <f>[5]Tabelas_Consumos!I37</f>
        <v>0</v>
      </c>
      <c r="L64" s="19">
        <f>[5]Tabelas_Consumos!J37</f>
        <v>0</v>
      </c>
      <c r="M64" s="19">
        <f>[5]Tabelas_Consumos!K37</f>
        <v>0</v>
      </c>
      <c r="N64" s="19">
        <f>[5]Tabelas_Consumos!L37</f>
        <v>55386.367483866903</v>
      </c>
      <c r="O64" s="20">
        <f>[5]Tabelas_Consumos!M37</f>
        <v>184686.12577917159</v>
      </c>
      <c r="P64" s="30"/>
      <c r="Q64" s="54"/>
    </row>
    <row r="65" spans="1:17" x14ac:dyDescent="0.25">
      <c r="A65" s="44"/>
      <c r="B65" s="44"/>
      <c r="C65" s="45">
        <v>11</v>
      </c>
      <c r="D65" s="46">
        <f>[3]Tabelas_Consumos!B37</f>
        <v>175359.64063288199</v>
      </c>
      <c r="E65" s="19">
        <f>[3]Tabelas_Consumos!C37</f>
        <v>130098.56821283601</v>
      </c>
      <c r="F65" s="19">
        <f>[3]Tabelas_Consumos!D37</f>
        <v>74613.695928762827</v>
      </c>
      <c r="G65" s="19">
        <f>[3]Tabelas_Consumos!E37</f>
        <v>74613.695928762827</v>
      </c>
      <c r="H65" s="19">
        <f>[3]Tabelas_Consumos!F37</f>
        <v>0</v>
      </c>
      <c r="I65" s="19">
        <f>[3]Tabelas_Consumos!G37</f>
        <v>0</v>
      </c>
      <c r="J65" s="19">
        <f>[3]Tabelas_Consumos!H37</f>
        <v>0</v>
      </c>
      <c r="K65" s="19">
        <f>[3]Tabelas_Consumos!I37</f>
        <v>0</v>
      </c>
      <c r="L65" s="19">
        <f>[3]Tabelas_Consumos!J37</f>
        <v>0</v>
      </c>
      <c r="M65" s="19">
        <f>[3]Tabelas_Consumos!K37</f>
        <v>0</v>
      </c>
      <c r="N65" s="19">
        <f>[3]Tabelas_Consumos!L37</f>
        <v>64750.655483303737</v>
      </c>
      <c r="O65" s="20">
        <f>[3]Tabelas_Consumos!M37</f>
        <v>121437.37337088001</v>
      </c>
      <c r="P65" s="30"/>
      <c r="Q65" s="54"/>
    </row>
    <row r="66" spans="1:17" ht="15.75" thickBot="1" x14ac:dyDescent="0.3">
      <c r="A66" s="49"/>
      <c r="B66" s="49"/>
      <c r="C66" s="50">
        <v>12</v>
      </c>
      <c r="D66" s="51">
        <f>[3]Tabelas_Consumos!B38</f>
        <v>136786.75078460801</v>
      </c>
      <c r="E66" s="24">
        <f>[3]Tabelas_Consumos!C38</f>
        <v>231563.08568567244</v>
      </c>
      <c r="F66" s="24">
        <f>[3]Tabelas_Consumos!D38</f>
        <v>63574.141962700647</v>
      </c>
      <c r="G66" s="24">
        <f>[3]Tabelas_Consumos!E38</f>
        <v>37933.065713717588</v>
      </c>
      <c r="H66" s="24">
        <f>[3]Tabelas_Consumos!F38</f>
        <v>8672.016307139409</v>
      </c>
      <c r="I66" s="24">
        <f>[3]Tabelas_Consumos!G38</f>
        <v>0</v>
      </c>
      <c r="J66" s="24">
        <f>[3]Tabelas_Consumos!H38</f>
        <v>0</v>
      </c>
      <c r="K66" s="24">
        <f>[3]Tabelas_Consumos!I38</f>
        <v>0</v>
      </c>
      <c r="L66" s="24">
        <f>[3]Tabelas_Consumos!J38</f>
        <v>0</v>
      </c>
      <c r="M66" s="24">
        <f>[3]Tabelas_Consumos!K38</f>
        <v>11582.122297358012</v>
      </c>
      <c r="N66" s="24">
        <f>[3]Tabelas_Consumos!L38</f>
        <v>95050</v>
      </c>
      <c r="O66" s="25">
        <f>[3]Tabelas_Consumos!M38</f>
        <v>135612.40683544317</v>
      </c>
      <c r="P66" s="30"/>
      <c r="Q66" s="54"/>
    </row>
    <row r="67" spans="1:17" x14ac:dyDescent="0.25">
      <c r="A67" s="1"/>
      <c r="B67" s="1"/>
      <c r="C67" s="1"/>
      <c r="D67" s="1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4"/>
    </row>
    <row r="68" spans="1:17" x14ac:dyDescent="0.25">
      <c r="A68" s="1"/>
      <c r="B68" s="1"/>
      <c r="C68" s="1"/>
      <c r="D68" s="1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4"/>
    </row>
    <row r="69" spans="1:17" x14ac:dyDescent="0.25"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</sheetData>
  <sheetProtection password="A926" sheet="1" formatCells="0" formatColumns="0" formatRows="0" insertColumns="0" insertRows="0" insertHyperlinks="0" deleteColumns="0" deleteRows="0" sort="0" autoFilter="0" pivotTables="0"/>
  <mergeCells count="15">
    <mergeCell ref="A49:A66"/>
    <mergeCell ref="B49:B54"/>
    <mergeCell ref="B55:B60"/>
    <mergeCell ref="B61:B66"/>
    <mergeCell ref="A3:O3"/>
    <mergeCell ref="A5:A22"/>
    <mergeCell ref="B5:B10"/>
    <mergeCell ref="B11:B16"/>
    <mergeCell ref="B17:B22"/>
    <mergeCell ref="A25:O25"/>
    <mergeCell ref="A27:A44"/>
    <mergeCell ref="B27:B32"/>
    <mergeCell ref="B33:B38"/>
    <mergeCell ref="B39:B44"/>
    <mergeCell ref="A47:O4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BR222"/>
  <sheetViews>
    <sheetView topLeftCell="AR1" zoomScaleNormal="100" workbookViewId="0">
      <selection activeCell="AW8" sqref="AW8"/>
    </sheetView>
  </sheetViews>
  <sheetFormatPr defaultRowHeight="15" x14ac:dyDescent="0.25"/>
  <cols>
    <col min="1" max="3" width="9.140625" style="2"/>
    <col min="4" max="4" width="9.140625" style="2" hidden="1" customWidth="1"/>
    <col min="5" max="5" width="14.7109375" style="2" bestFit="1" customWidth="1"/>
    <col min="6" max="6" width="9.28515625" style="2" bestFit="1" customWidth="1"/>
    <col min="7" max="7" width="12" style="2" hidden="1" customWidth="1"/>
    <col min="8" max="16" width="12" style="2" customWidth="1"/>
    <col min="17" max="17" width="10.140625" style="2" bestFit="1" customWidth="1"/>
    <col min="18" max="18" width="9.28515625" style="2" customWidth="1"/>
    <col min="19" max="19" width="9.28515625" style="2" bestFit="1" customWidth="1"/>
    <col min="20" max="20" width="9.28515625" style="2" customWidth="1"/>
    <col min="21" max="21" width="9.28515625" style="59" customWidth="1"/>
    <col min="22" max="25" width="9.140625" style="2"/>
    <col min="26" max="27" width="9.140625" style="2" customWidth="1"/>
    <col min="28" max="29" width="9.140625" style="2"/>
    <col min="30" max="30" width="9.140625" style="2" customWidth="1"/>
    <col min="31" max="31" width="12.7109375" style="2" bestFit="1" customWidth="1"/>
    <col min="32" max="32" width="10.140625" style="59" bestFit="1" customWidth="1"/>
    <col min="33" max="35" width="9.140625" style="2"/>
    <col min="36" max="36" width="12.7109375" style="2" bestFit="1" customWidth="1"/>
    <col min="37" max="43" width="9.140625" style="2"/>
    <col min="44" max="44" width="9.140625" style="59"/>
    <col min="45" max="48" width="9.140625" style="54"/>
    <col min="49" max="49" width="14.5703125" style="54" bestFit="1" customWidth="1"/>
    <col min="50" max="51" width="9.140625" style="54"/>
    <col min="52" max="53" width="9.140625" style="2"/>
    <col min="54" max="54" width="10.140625" style="2" bestFit="1" customWidth="1"/>
    <col min="55" max="62" width="9.140625" style="2"/>
    <col min="63" max="63" width="10.140625" style="2" bestFit="1" customWidth="1"/>
    <col min="64" max="69" width="9.140625" style="2"/>
    <col min="70" max="70" width="9.140625" style="59"/>
    <col min="71" max="16384" width="9.140625" style="2"/>
  </cols>
  <sheetData>
    <row r="1" spans="2:68" ht="15" customHeight="1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  <c r="V1" s="56"/>
      <c r="W1" s="58" t="s">
        <v>0</v>
      </c>
      <c r="X1" s="58"/>
      <c r="Y1" s="58"/>
      <c r="Z1" s="58"/>
      <c r="AA1" s="58"/>
      <c r="AB1" s="58"/>
      <c r="AC1" s="58"/>
      <c r="AD1" s="58"/>
      <c r="AH1" s="60" t="s">
        <v>1</v>
      </c>
      <c r="AI1" s="60"/>
      <c r="AJ1" s="60"/>
      <c r="AK1" s="60"/>
      <c r="AL1" s="60"/>
      <c r="AM1" s="60"/>
      <c r="AN1" s="60"/>
      <c r="AO1" s="60"/>
      <c r="AP1" s="60"/>
      <c r="AT1" s="60" t="s">
        <v>2</v>
      </c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</row>
    <row r="2" spans="2:68" ht="15.75" customHeight="1" thickBot="1" x14ac:dyDescent="0.3">
      <c r="E2" s="61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W2" s="58"/>
      <c r="X2" s="58"/>
      <c r="Y2" s="58"/>
      <c r="Z2" s="58"/>
      <c r="AA2" s="58"/>
      <c r="AB2" s="58"/>
      <c r="AC2" s="58"/>
      <c r="AD2" s="58"/>
      <c r="AH2" s="60"/>
      <c r="AI2" s="60"/>
      <c r="AJ2" s="60"/>
      <c r="AK2" s="60"/>
      <c r="AL2" s="60"/>
      <c r="AM2" s="60"/>
      <c r="AN2" s="60"/>
      <c r="AO2" s="60"/>
      <c r="AP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</row>
    <row r="3" spans="2:68" ht="15.75" thickBot="1" x14ac:dyDescent="0.3">
      <c r="B3" s="62" t="s">
        <v>3</v>
      </c>
      <c r="C3" s="62" t="s">
        <v>4</v>
      </c>
      <c r="D3" s="63" t="s">
        <v>5</v>
      </c>
      <c r="E3" s="64" t="s">
        <v>6</v>
      </c>
      <c r="F3" s="65" t="s">
        <v>7</v>
      </c>
      <c r="G3" s="63" t="s">
        <v>8</v>
      </c>
      <c r="H3" s="66" t="s">
        <v>9</v>
      </c>
      <c r="I3" s="67"/>
      <c r="J3" s="67"/>
      <c r="K3" s="67"/>
      <c r="L3" s="67"/>
      <c r="M3" s="67"/>
      <c r="N3" s="67"/>
      <c r="O3" s="67"/>
      <c r="P3" s="68"/>
      <c r="Q3" s="69" t="s">
        <v>10</v>
      </c>
      <c r="R3" s="64" t="s">
        <v>11</v>
      </c>
      <c r="S3" s="69" t="s">
        <v>12</v>
      </c>
      <c r="T3" s="70"/>
      <c r="U3" s="71"/>
      <c r="X3" s="72"/>
      <c r="Y3" s="72"/>
      <c r="Z3" s="72"/>
      <c r="AJ3" s="73"/>
      <c r="AK3" s="26"/>
      <c r="AT3" s="62" t="s">
        <v>3</v>
      </c>
      <c r="AU3" s="62" t="s">
        <v>4</v>
      </c>
      <c r="AV3" s="69" t="s">
        <v>12</v>
      </c>
      <c r="AW3" s="64" t="s">
        <v>6</v>
      </c>
      <c r="AX3" s="2"/>
      <c r="AY3" s="2"/>
    </row>
    <row r="4" spans="2:68" ht="15.75" customHeight="1" thickBot="1" x14ac:dyDescent="0.3">
      <c r="B4" s="74"/>
      <c r="C4" s="74"/>
      <c r="D4" s="75"/>
      <c r="E4" s="76"/>
      <c r="F4" s="77"/>
      <c r="G4" s="78"/>
      <c r="H4" s="79" t="s">
        <v>13</v>
      </c>
      <c r="I4" s="80" t="s">
        <v>14</v>
      </c>
      <c r="J4" s="81" t="s">
        <v>15</v>
      </c>
      <c r="K4" s="82" t="s">
        <v>16</v>
      </c>
      <c r="L4" s="83" t="s">
        <v>14</v>
      </c>
      <c r="M4" s="84" t="s">
        <v>17</v>
      </c>
      <c r="N4" s="85" t="s">
        <v>18</v>
      </c>
      <c r="O4" s="86" t="s">
        <v>14</v>
      </c>
      <c r="P4" s="87" t="s">
        <v>19</v>
      </c>
      <c r="Q4" s="88"/>
      <c r="R4" s="76"/>
      <c r="S4" s="89"/>
      <c r="T4" s="70"/>
      <c r="U4" s="71"/>
      <c r="X4" s="1" t="s">
        <v>4</v>
      </c>
      <c r="Y4" s="90" t="s">
        <v>20</v>
      </c>
      <c r="Z4" s="1" t="s">
        <v>21</v>
      </c>
      <c r="AH4" s="30" t="s">
        <v>3</v>
      </c>
      <c r="AI4" s="30" t="s">
        <v>10</v>
      </c>
      <c r="AJ4" s="30" t="s">
        <v>22</v>
      </c>
      <c r="AK4" s="30" t="s">
        <v>23</v>
      </c>
      <c r="AL4" s="30" t="s">
        <v>3</v>
      </c>
      <c r="AT4" s="74"/>
      <c r="AU4" s="74"/>
      <c r="AV4" s="89"/>
      <c r="AW4" s="76"/>
      <c r="AX4" s="2"/>
      <c r="AY4" s="2"/>
    </row>
    <row r="5" spans="2:68" ht="15" customHeight="1" x14ac:dyDescent="0.25">
      <c r="B5" s="91">
        <v>2007</v>
      </c>
      <c r="C5" s="92" t="s">
        <v>24</v>
      </c>
      <c r="D5" s="93"/>
      <c r="E5" s="94">
        <v>910000</v>
      </c>
      <c r="F5" s="95">
        <v>43391.9</v>
      </c>
      <c r="G5" s="96">
        <f>D5/F5</f>
        <v>0</v>
      </c>
      <c r="H5" s="97">
        <f>'[6]Mensais 07-12 MOD''s'!D49</f>
        <v>147825.55111411825</v>
      </c>
      <c r="I5" s="98">
        <f>H5/E5</f>
        <v>0.16244566056496512</v>
      </c>
      <c r="J5" s="97">
        <f>H5/F5</f>
        <v>3.4067545121121281</v>
      </c>
      <c r="K5" s="99">
        <f>'[6]Mensais 07-12 MOD''s'!D$55</f>
        <v>72680.782218930544</v>
      </c>
      <c r="L5" s="100">
        <f>K5/E5</f>
        <v>7.9868991449374219E-2</v>
      </c>
      <c r="M5" s="99">
        <f t="shared" ref="M5:M68" si="0">K5/F5</f>
        <v>1.6749850137682503</v>
      </c>
      <c r="N5" s="101">
        <f>'[6]Mensais 07-12 MOD''s'!D$61</f>
        <v>217210.02406967728</v>
      </c>
      <c r="O5" s="102">
        <f>N5/E5</f>
        <v>0.23869233414250252</v>
      </c>
      <c r="P5" s="101">
        <f t="shared" ref="P5:P68" si="1">N5/F5</f>
        <v>5.0057735215484289</v>
      </c>
      <c r="Q5" s="95">
        <f>SUM(H5,K5,N5)</f>
        <v>437716.35740272608</v>
      </c>
      <c r="R5" s="94">
        <f>Q5/E5</f>
        <v>0.48100698615684184</v>
      </c>
      <c r="S5" s="103">
        <f t="shared" ref="S5:S68" si="2">Q5/F5</f>
        <v>10.087513047428807</v>
      </c>
      <c r="T5" s="104"/>
      <c r="U5" s="105"/>
      <c r="X5" s="30" t="s">
        <v>25</v>
      </c>
      <c r="Y5" s="106">
        <f>AVERAGE(R5,R17,R29,R41,R53,R65)</f>
        <v>0.44850485458845979</v>
      </c>
      <c r="Z5" s="106">
        <f>AVERAGE(S5,S17,S29,S41,S53,S65)</f>
        <v>9.2394071977617163</v>
      </c>
      <c r="AH5" s="30">
        <v>2007</v>
      </c>
      <c r="AI5" s="106">
        <f>SUM(S5:S16)</f>
        <v>72.619315071545927</v>
      </c>
      <c r="AJ5" s="106">
        <f>SUM(E5:E16)</f>
        <v>10139431</v>
      </c>
      <c r="AK5" s="27">
        <v>278971</v>
      </c>
      <c r="AL5" s="107" t="s">
        <v>26</v>
      </c>
      <c r="AM5" s="54"/>
      <c r="AN5" s="54"/>
      <c r="AT5" s="91">
        <v>2007</v>
      </c>
      <c r="AU5" s="92" t="s">
        <v>24</v>
      </c>
      <c r="AV5" s="108">
        <f t="shared" ref="AV5:AV68" si="3">S5</f>
        <v>10.087513047428807</v>
      </c>
      <c r="AW5" s="109">
        <f t="shared" ref="AW5:AW68" si="4">E5</f>
        <v>910000</v>
      </c>
      <c r="AX5" s="2"/>
      <c r="AY5" s="2"/>
    </row>
    <row r="6" spans="2:68" x14ac:dyDescent="0.25">
      <c r="B6" s="110"/>
      <c r="C6" s="111" t="s">
        <v>27</v>
      </c>
      <c r="D6" s="112">
        <f>[7]Folha1!$I$46</f>
        <v>0</v>
      </c>
      <c r="E6" s="113">
        <f>[7]Folha1!$Y$53</f>
        <v>756236.49999999988</v>
      </c>
      <c r="F6" s="113">
        <f>[7]Folha1!$Y$56</f>
        <v>43391.900000000009</v>
      </c>
      <c r="G6" s="112">
        <f t="shared" ref="G6:G69" si="5">D6/F6</f>
        <v>0</v>
      </c>
      <c r="H6" s="114">
        <f>'[6]Mensais 07-12 MOD''s'!E49</f>
        <v>115452.8698370107</v>
      </c>
      <c r="I6" s="115">
        <f>H6/E6</f>
        <v>0.1526676771578874</v>
      </c>
      <c r="J6" s="114">
        <f t="shared" ref="J6:J69" si="6">H6/F6</f>
        <v>2.6607009565612634</v>
      </c>
      <c r="K6" s="116">
        <f>'[6]Mensais 07-12 MOD''s'!E$55</f>
        <v>66859.89554325903</v>
      </c>
      <c r="L6" s="117">
        <f>K6/E6</f>
        <v>8.8411357483087691E-2</v>
      </c>
      <c r="M6" s="116">
        <f t="shared" si="0"/>
        <v>1.5408381643407876</v>
      </c>
      <c r="N6" s="118">
        <f>'[6]Mensais 07-12 MOD''s'!E$61</f>
        <v>178614.12836928578</v>
      </c>
      <c r="O6" s="119">
        <f>N6/E6</f>
        <v>0.23618818764934754</v>
      </c>
      <c r="P6" s="118">
        <f t="shared" si="1"/>
        <v>4.1163011614906413</v>
      </c>
      <c r="Q6" s="113">
        <f>SUM(H6,K6,N6)</f>
        <v>360926.89374955551</v>
      </c>
      <c r="R6" s="113">
        <f t="shared" ref="R6:R69" si="7">Q6/E6</f>
        <v>0.47726722229032265</v>
      </c>
      <c r="S6" s="120">
        <f t="shared" si="2"/>
        <v>8.3178402823926909</v>
      </c>
      <c r="T6" s="121"/>
      <c r="U6" s="105"/>
      <c r="X6" s="1" t="s">
        <v>28</v>
      </c>
      <c r="Y6" s="106">
        <f t="shared" ref="Y6:Z16" si="8">AVERAGE(R6,R18,R30,R42,R54,R66)</f>
        <v>0.44909356794425964</v>
      </c>
      <c r="Z6" s="106">
        <f t="shared" si="8"/>
        <v>8.2017354968216267</v>
      </c>
      <c r="AG6" s="122"/>
      <c r="AH6" s="30">
        <v>2008</v>
      </c>
      <c r="AI6" s="106">
        <f>SUM(S17:S28)</f>
        <v>76.218596826099287</v>
      </c>
      <c r="AJ6" s="106">
        <f>SUM(E17:E28)</f>
        <v>10746194.75</v>
      </c>
      <c r="AK6" s="27">
        <v>566880</v>
      </c>
      <c r="AL6" s="30">
        <v>2008</v>
      </c>
      <c r="AT6" s="110"/>
      <c r="AU6" s="111" t="s">
        <v>27</v>
      </c>
      <c r="AV6" s="123">
        <f t="shared" si="3"/>
        <v>8.3178402823926909</v>
      </c>
      <c r="AW6" s="120">
        <f t="shared" si="4"/>
        <v>756236.49999999988</v>
      </c>
      <c r="AX6" s="2"/>
      <c r="AY6" s="2"/>
    </row>
    <row r="7" spans="2:68" x14ac:dyDescent="0.25">
      <c r="B7" s="110"/>
      <c r="C7" s="111" t="s">
        <v>29</v>
      </c>
      <c r="D7" s="112">
        <f>[8]Folha1!$I$46</f>
        <v>0</v>
      </c>
      <c r="E7" s="113">
        <f>[8]Folha1!$Y$53</f>
        <v>746263.09999999974</v>
      </c>
      <c r="F7" s="113">
        <f>$F$6</f>
        <v>43391.900000000009</v>
      </c>
      <c r="G7" s="112">
        <f t="shared" si="5"/>
        <v>0</v>
      </c>
      <c r="H7" s="114">
        <f>'[6]Mensais 07-12 MOD''s'!F49</f>
        <v>111903.14194991237</v>
      </c>
      <c r="I7" s="115">
        <f t="shared" ref="I7:I70" si="9">H7/E7</f>
        <v>0.14995132675046161</v>
      </c>
      <c r="J7" s="114">
        <f t="shared" si="6"/>
        <v>2.5788947234371471</v>
      </c>
      <c r="K7" s="116">
        <f>'[6]Mensais 07-12 MOD''s'!F$55</f>
        <v>54634.771683628758</v>
      </c>
      <c r="L7" s="117">
        <f t="shared" ref="L7:L70" si="10">K7/E7</f>
        <v>7.3211139186204935E-2</v>
      </c>
      <c r="M7" s="116">
        <f t="shared" si="0"/>
        <v>1.2591007004447545</v>
      </c>
      <c r="N7" s="118">
        <f>'[6]Mensais 07-12 MOD''s'!F$61</f>
        <v>76935.093489080187</v>
      </c>
      <c r="O7" s="119">
        <f t="shared" ref="O7:O70" si="11">N7/E7</f>
        <v>0.10309379291174951</v>
      </c>
      <c r="P7" s="118">
        <f t="shared" si="1"/>
        <v>1.7730289175878486</v>
      </c>
      <c r="Q7" s="113">
        <f t="shared" ref="Q7:Q16" si="12">SUM(H7,K7,N7)</f>
        <v>243473.00712262135</v>
      </c>
      <c r="R7" s="113">
        <f t="shared" si="7"/>
        <v>0.32625625884841608</v>
      </c>
      <c r="S7" s="120">
        <f t="shared" si="2"/>
        <v>5.6110243414697516</v>
      </c>
      <c r="T7" s="121"/>
      <c r="U7" s="105"/>
      <c r="X7" s="1" t="s">
        <v>30</v>
      </c>
      <c r="Y7" s="106">
        <f t="shared" si="8"/>
        <v>0.33864361714491253</v>
      </c>
      <c r="Z7" s="106">
        <f t="shared" si="8"/>
        <v>6.8844050233275711</v>
      </c>
      <c r="AH7" s="30">
        <v>2009</v>
      </c>
      <c r="AI7" s="106">
        <f>SUM(S29:S40)</f>
        <v>77.285045490032871</v>
      </c>
      <c r="AJ7" s="106">
        <f>SUM(E29:E40)</f>
        <v>10748696.409999998</v>
      </c>
      <c r="AK7" s="27">
        <v>633538</v>
      </c>
      <c r="AL7" s="30">
        <v>2009</v>
      </c>
      <c r="AT7" s="110"/>
      <c r="AU7" s="111" t="s">
        <v>29</v>
      </c>
      <c r="AV7" s="123">
        <f t="shared" si="3"/>
        <v>5.6110243414697516</v>
      </c>
      <c r="AW7" s="120">
        <f t="shared" si="4"/>
        <v>746263.09999999974</v>
      </c>
      <c r="AX7" s="2"/>
      <c r="AY7" s="2"/>
    </row>
    <row r="8" spans="2:68" x14ac:dyDescent="0.25">
      <c r="B8" s="110"/>
      <c r="C8" s="111" t="s">
        <v>31</v>
      </c>
      <c r="D8" s="112">
        <f>[9]Folha1!$I$46</f>
        <v>0</v>
      </c>
      <c r="E8" s="113">
        <f>[9]Folha1!$Y$53</f>
        <v>760027.5</v>
      </c>
      <c r="F8" s="113">
        <f>$F$6</f>
        <v>43391.900000000009</v>
      </c>
      <c r="G8" s="112">
        <f t="shared" si="5"/>
        <v>0</v>
      </c>
      <c r="H8" s="114">
        <f>'[6]Mensais 07-12 MOD''s'!G49</f>
        <v>95970.036511786719</v>
      </c>
      <c r="I8" s="115">
        <f t="shared" si="9"/>
        <v>0.12627179478609224</v>
      </c>
      <c r="J8" s="114">
        <f t="shared" si="6"/>
        <v>2.2117039473216593</v>
      </c>
      <c r="K8" s="116">
        <f>'[6]Mensais 07-12 MOD''s'!G$55</f>
        <v>39084.584638936954</v>
      </c>
      <c r="L8" s="117">
        <f t="shared" si="10"/>
        <v>5.1425224270091482E-2</v>
      </c>
      <c r="M8" s="116">
        <f t="shared" si="0"/>
        <v>0.90073457578342842</v>
      </c>
      <c r="N8" s="118">
        <f>'[6]Mensais 07-12 MOD''s'!G$61</f>
        <v>18086.720773724825</v>
      </c>
      <c r="O8" s="119">
        <f t="shared" si="11"/>
        <v>2.3797455715385069E-2</v>
      </c>
      <c r="P8" s="118">
        <f t="shared" si="1"/>
        <v>0.41682251235195555</v>
      </c>
      <c r="Q8" s="113">
        <f t="shared" si="12"/>
        <v>153141.3419244485</v>
      </c>
      <c r="R8" s="113">
        <f t="shared" si="7"/>
        <v>0.20149447477156879</v>
      </c>
      <c r="S8" s="120">
        <f t="shared" si="2"/>
        <v>3.5292610354570431</v>
      </c>
      <c r="T8" s="121"/>
      <c r="U8" s="105"/>
      <c r="X8" s="1" t="s">
        <v>32</v>
      </c>
      <c r="Y8" s="106">
        <f t="shared" si="8"/>
        <v>0.25611281085703136</v>
      </c>
      <c r="Z8" s="106">
        <f t="shared" si="8"/>
        <v>5.1329174039084675</v>
      </c>
      <c r="AH8" s="30">
        <v>2010</v>
      </c>
      <c r="AI8" s="106">
        <f>SUM(S41:S52)</f>
        <v>83.12941284259837</v>
      </c>
      <c r="AJ8" s="106">
        <f>SUM(E41:E52)</f>
        <v>10509146.149999999</v>
      </c>
      <c r="AK8" s="27">
        <v>964540</v>
      </c>
      <c r="AL8" s="30">
        <v>2010</v>
      </c>
      <c r="AT8" s="110"/>
      <c r="AU8" s="111" t="s">
        <v>31</v>
      </c>
      <c r="AV8" s="123">
        <f t="shared" si="3"/>
        <v>3.5292610354570431</v>
      </c>
      <c r="AW8" s="120">
        <f t="shared" si="4"/>
        <v>760027.5</v>
      </c>
      <c r="AX8" s="2"/>
      <c r="AY8" s="2"/>
    </row>
    <row r="9" spans="2:68" x14ac:dyDescent="0.25">
      <c r="B9" s="110"/>
      <c r="C9" s="111" t="s">
        <v>33</v>
      </c>
      <c r="D9" s="112">
        <f>[10]Folha1!$I$46</f>
        <v>0</v>
      </c>
      <c r="E9" s="113">
        <f>[10]Folha1!$Y$53</f>
        <v>794650.99999999977</v>
      </c>
      <c r="F9" s="113">
        <f t="shared" ref="F9:F29" si="13">$F$6</f>
        <v>43391.900000000009</v>
      </c>
      <c r="G9" s="112">
        <f t="shared" si="5"/>
        <v>0</v>
      </c>
      <c r="H9" s="114">
        <f>'[6]Mensais 07-12 MOD''s'!H49</f>
        <v>106536.42834000879</v>
      </c>
      <c r="I9" s="115">
        <f t="shared" si="9"/>
        <v>0.13406694050596907</v>
      </c>
      <c r="J9" s="114">
        <f t="shared" si="6"/>
        <v>2.4552146446689074</v>
      </c>
      <c r="K9" s="116">
        <f>'[6]Mensais 07-12 MOD''s'!H$55</f>
        <v>41790.44160560413</v>
      </c>
      <c r="L9" s="117">
        <f>K9/E9</f>
        <v>5.2589679753255382E-2</v>
      </c>
      <c r="M9" s="116">
        <f t="shared" si="0"/>
        <v>0.96309314885045649</v>
      </c>
      <c r="N9" s="118">
        <f>'[6]Mensais 07-12 MOD''s'!H$61</f>
        <v>0</v>
      </c>
      <c r="O9" s="119">
        <f t="shared" si="11"/>
        <v>0</v>
      </c>
      <c r="P9" s="118">
        <f t="shared" si="1"/>
        <v>0</v>
      </c>
      <c r="Q9" s="113">
        <f t="shared" si="12"/>
        <v>148326.86994561291</v>
      </c>
      <c r="R9" s="113">
        <f t="shared" si="7"/>
        <v>0.18665662025922444</v>
      </c>
      <c r="S9" s="120">
        <f t="shared" si="2"/>
        <v>3.418307793519364</v>
      </c>
      <c r="T9" s="121"/>
      <c r="U9" s="105"/>
      <c r="X9" s="1" t="s">
        <v>34</v>
      </c>
      <c r="Y9" s="106">
        <f t="shared" si="8"/>
        <v>0.23903761575183616</v>
      </c>
      <c r="Z9" s="106">
        <f t="shared" si="8"/>
        <v>4.8327898833338212</v>
      </c>
      <c r="AH9" s="30">
        <v>2011</v>
      </c>
      <c r="AI9" s="106">
        <f>SUM(S53:S64)</f>
        <v>70.293474480711836</v>
      </c>
      <c r="AJ9" s="106">
        <f>SUM(E53:E64)</f>
        <v>10384136.699999997</v>
      </c>
      <c r="AK9" s="27">
        <v>652447</v>
      </c>
      <c r="AL9" s="30">
        <v>2011</v>
      </c>
      <c r="AT9" s="110"/>
      <c r="AU9" s="111" t="s">
        <v>33</v>
      </c>
      <c r="AV9" s="123">
        <f t="shared" si="3"/>
        <v>3.418307793519364</v>
      </c>
      <c r="AW9" s="120">
        <f t="shared" si="4"/>
        <v>794650.99999999977</v>
      </c>
      <c r="AX9" s="2"/>
      <c r="AY9" s="2"/>
    </row>
    <row r="10" spans="2:68" x14ac:dyDescent="0.25">
      <c r="B10" s="110"/>
      <c r="C10" s="111" t="s">
        <v>35</v>
      </c>
      <c r="D10" s="112">
        <f>[11]Folha1!$I$46</f>
        <v>0</v>
      </c>
      <c r="E10" s="113">
        <f>[11]Folha1!$Y$53</f>
        <v>791587.4</v>
      </c>
      <c r="F10" s="113">
        <f t="shared" si="13"/>
        <v>43391.900000000009</v>
      </c>
      <c r="G10" s="112">
        <f t="shared" si="5"/>
        <v>0</v>
      </c>
      <c r="H10" s="114">
        <f>'[6]Mensais 07-12 MOD''s'!I49</f>
        <v>125524.40926980792</v>
      </c>
      <c r="I10" s="115">
        <f t="shared" si="9"/>
        <v>0.15857302588420169</v>
      </c>
      <c r="J10" s="114">
        <f t="shared" si="6"/>
        <v>2.8928073965373238</v>
      </c>
      <c r="K10" s="116">
        <f>'[6]Mensais 07-12 MOD''s'!I$55</f>
        <v>70235.085773907442</v>
      </c>
      <c r="L10" s="117">
        <f t="shared" si="10"/>
        <v>8.8726886979135139E-2</v>
      </c>
      <c r="M10" s="116">
        <f t="shared" si="0"/>
        <v>1.6186220417614214</v>
      </c>
      <c r="N10" s="118">
        <f>'[6]Mensais 07-12 MOD''s'!I$61</f>
        <v>0</v>
      </c>
      <c r="O10" s="119">
        <f t="shared" si="11"/>
        <v>0</v>
      </c>
      <c r="P10" s="118">
        <f t="shared" si="1"/>
        <v>0</v>
      </c>
      <c r="Q10" s="113">
        <f t="shared" si="12"/>
        <v>195759.49504371535</v>
      </c>
      <c r="R10" s="113">
        <f t="shared" si="7"/>
        <v>0.2472999128633368</v>
      </c>
      <c r="S10" s="120">
        <f t="shared" si="2"/>
        <v>4.5114294382987445</v>
      </c>
      <c r="T10" s="121"/>
      <c r="U10" s="105"/>
      <c r="X10" s="1" t="s">
        <v>36</v>
      </c>
      <c r="Y10" s="106">
        <f t="shared" si="8"/>
        <v>0.26861677775525983</v>
      </c>
      <c r="Z10" s="106">
        <f t="shared" si="8"/>
        <v>5.2589932225335936</v>
      </c>
      <c r="AH10" s="30">
        <v>2012</v>
      </c>
      <c r="AI10" s="106">
        <f>SUM(S65:S76)</f>
        <v>82.594744333621634</v>
      </c>
      <c r="AJ10" s="106">
        <f>SUM(E65:E76)</f>
        <v>10396821.130000001</v>
      </c>
      <c r="AK10" s="27">
        <v>580814</v>
      </c>
      <c r="AL10" s="30">
        <v>2012</v>
      </c>
      <c r="AT10" s="110"/>
      <c r="AU10" s="111" t="s">
        <v>35</v>
      </c>
      <c r="AV10" s="123">
        <f t="shared" si="3"/>
        <v>4.5114294382987445</v>
      </c>
      <c r="AW10" s="120">
        <f t="shared" si="4"/>
        <v>791587.4</v>
      </c>
      <c r="AX10" s="2"/>
      <c r="AY10" s="2"/>
    </row>
    <row r="11" spans="2:68" x14ac:dyDescent="0.25">
      <c r="B11" s="110"/>
      <c r="C11" s="111" t="s">
        <v>37</v>
      </c>
      <c r="D11" s="112">
        <f>[12]Folha1!$I$46</f>
        <v>0</v>
      </c>
      <c r="E11" s="113">
        <f>[12]Folha1!$Y$53</f>
        <v>938751.99999999977</v>
      </c>
      <c r="F11" s="113">
        <f t="shared" si="13"/>
        <v>43391.900000000009</v>
      </c>
      <c r="G11" s="112">
        <f t="shared" si="5"/>
        <v>0</v>
      </c>
      <c r="H11" s="114">
        <f>'[6]Mensais 07-12 MOD''s'!J49</f>
        <v>137624.54105597417</v>
      </c>
      <c r="I11" s="115">
        <f t="shared" si="9"/>
        <v>0.14660372607032976</v>
      </c>
      <c r="J11" s="114">
        <f t="shared" si="6"/>
        <v>3.1716643211284627</v>
      </c>
      <c r="K11" s="116">
        <f>'[6]Mensais 07-12 MOD''s'!J$55</f>
        <v>114834.3729481567</v>
      </c>
      <c r="L11" s="117">
        <f t="shared" si="10"/>
        <v>0.12232663466832212</v>
      </c>
      <c r="M11" s="116">
        <f t="shared" si="0"/>
        <v>2.6464472159125707</v>
      </c>
      <c r="N11" s="118">
        <f>'[6]Mensais 07-12 MOD''s'!J$61</f>
        <v>-8.8746591442031786E-2</v>
      </c>
      <c r="O11" s="119">
        <f t="shared" si="11"/>
        <v>-9.4536780152832488E-8</v>
      </c>
      <c r="P11" s="118">
        <f t="shared" si="1"/>
        <v>-2.0452340515633509E-6</v>
      </c>
      <c r="Q11" s="113">
        <f t="shared" si="12"/>
        <v>252458.82525753943</v>
      </c>
      <c r="R11" s="113">
        <f t="shared" si="7"/>
        <v>0.26893026620187171</v>
      </c>
      <c r="S11" s="120">
        <f t="shared" si="2"/>
        <v>5.8181094918069816</v>
      </c>
      <c r="T11" s="121"/>
      <c r="U11" s="105"/>
      <c r="X11" s="1" t="s">
        <v>38</v>
      </c>
      <c r="Y11" s="106">
        <f t="shared" si="8"/>
        <v>0.2909970521481241</v>
      </c>
      <c r="Z11" s="106">
        <f t="shared" si="8"/>
        <v>6.1664721397101765</v>
      </c>
      <c r="AJ11" s="73"/>
      <c r="AK11" s="26"/>
      <c r="AT11" s="110"/>
      <c r="AU11" s="111" t="s">
        <v>37</v>
      </c>
      <c r="AV11" s="123">
        <f t="shared" si="3"/>
        <v>5.8181094918069816</v>
      </c>
      <c r="AW11" s="120">
        <f t="shared" si="4"/>
        <v>938751.99999999977</v>
      </c>
      <c r="AX11" s="2"/>
      <c r="AY11" s="2"/>
    </row>
    <row r="12" spans="2:68" x14ac:dyDescent="0.25">
      <c r="B12" s="110"/>
      <c r="C12" s="111" t="s">
        <v>39</v>
      </c>
      <c r="D12" s="112">
        <f>[13]Folha1!$I$46</f>
        <v>0</v>
      </c>
      <c r="E12" s="113">
        <f>[13]Folha1!$Y$53</f>
        <v>926403.99999999977</v>
      </c>
      <c r="F12" s="113">
        <f t="shared" si="13"/>
        <v>43391.900000000009</v>
      </c>
      <c r="G12" s="112">
        <f t="shared" si="5"/>
        <v>0</v>
      </c>
      <c r="H12" s="114">
        <f>'[6]Mensais 07-12 MOD''s'!K49</f>
        <v>150417.92678118157</v>
      </c>
      <c r="I12" s="115">
        <f t="shared" si="9"/>
        <v>0.16236752732196924</v>
      </c>
      <c r="J12" s="114">
        <f t="shared" si="6"/>
        <v>3.4664978205882098</v>
      </c>
      <c r="K12" s="116">
        <f>'[6]Mensais 07-12 MOD''s'!K$55</f>
        <v>119369.94055032027</v>
      </c>
      <c r="L12" s="117">
        <f t="shared" si="10"/>
        <v>0.12885300641007627</v>
      </c>
      <c r="M12" s="116">
        <f t="shared" si="0"/>
        <v>2.7509728901089892</v>
      </c>
      <c r="N12" s="118">
        <f>'[6]Mensais 07-12 MOD''s'!K$61</f>
        <v>0</v>
      </c>
      <c r="O12" s="119">
        <f t="shared" si="11"/>
        <v>0</v>
      </c>
      <c r="P12" s="118">
        <f t="shared" si="1"/>
        <v>0</v>
      </c>
      <c r="Q12" s="113">
        <f t="shared" si="12"/>
        <v>269787.86733150185</v>
      </c>
      <c r="R12" s="113">
        <f t="shared" si="7"/>
        <v>0.29122053373204554</v>
      </c>
      <c r="S12" s="120">
        <f t="shared" si="2"/>
        <v>6.2174707106971994</v>
      </c>
      <c r="T12" s="121"/>
      <c r="U12" s="105"/>
      <c r="X12" s="1" t="s">
        <v>40</v>
      </c>
      <c r="Y12" s="106">
        <f t="shared" si="8"/>
        <v>0.29657000987156085</v>
      </c>
      <c r="Z12" s="106">
        <f t="shared" si="8"/>
        <v>6.228881106448199</v>
      </c>
      <c r="AG12" s="54"/>
      <c r="AJ12" s="73"/>
      <c r="AK12" s="26"/>
      <c r="AT12" s="110"/>
      <c r="AU12" s="111" t="s">
        <v>39</v>
      </c>
      <c r="AV12" s="123">
        <f t="shared" si="3"/>
        <v>6.2174707106971994</v>
      </c>
      <c r="AW12" s="120">
        <f t="shared" si="4"/>
        <v>926403.99999999977</v>
      </c>
      <c r="AX12" s="2"/>
      <c r="AY12" s="2"/>
    </row>
    <row r="13" spans="2:68" x14ac:dyDescent="0.25">
      <c r="B13" s="110"/>
      <c r="C13" s="111" t="s">
        <v>41</v>
      </c>
      <c r="D13" s="112">
        <f>[14]Folha1!$I$46</f>
        <v>0</v>
      </c>
      <c r="E13" s="113">
        <f>[14]Folha1!$Y$53</f>
        <v>868339.5</v>
      </c>
      <c r="F13" s="113">
        <f t="shared" si="13"/>
        <v>43391.900000000009</v>
      </c>
      <c r="G13" s="112">
        <f t="shared" si="5"/>
        <v>0</v>
      </c>
      <c r="H13" s="114">
        <f>'[6]Mensais 07-12 MOD''s'!L49</f>
        <v>128665.57848618401</v>
      </c>
      <c r="I13" s="115">
        <f t="shared" si="9"/>
        <v>0.14817427801704749</v>
      </c>
      <c r="J13" s="114">
        <f t="shared" si="6"/>
        <v>2.9651980781248111</v>
      </c>
      <c r="K13" s="116">
        <f>'[6]Mensais 07-12 MOD''s'!L$55</f>
        <v>104330.85053452717</v>
      </c>
      <c r="L13" s="117">
        <f t="shared" si="10"/>
        <v>0.12014983832306048</v>
      </c>
      <c r="M13" s="116">
        <f t="shared" si="0"/>
        <v>2.4043853930002408</v>
      </c>
      <c r="N13" s="118">
        <f>'[6]Mensais 07-12 MOD''s'!L$61</f>
        <v>0</v>
      </c>
      <c r="O13" s="119">
        <f t="shared" si="11"/>
        <v>0</v>
      </c>
      <c r="P13" s="118">
        <f t="shared" si="1"/>
        <v>0</v>
      </c>
      <c r="Q13" s="113">
        <f t="shared" si="12"/>
        <v>232996.42902071116</v>
      </c>
      <c r="R13" s="113">
        <f t="shared" si="7"/>
        <v>0.26832411634010794</v>
      </c>
      <c r="S13" s="120">
        <f t="shared" si="2"/>
        <v>5.3695834711250514</v>
      </c>
      <c r="T13" s="121"/>
      <c r="U13" s="105"/>
      <c r="X13" s="1" t="s">
        <v>42</v>
      </c>
      <c r="Y13" s="106">
        <f t="shared" si="8"/>
        <v>0.27883678458954453</v>
      </c>
      <c r="Z13" s="106">
        <f t="shared" si="8"/>
        <v>5.448302763841351</v>
      </c>
      <c r="AG13" s="54"/>
      <c r="AJ13" s="73"/>
      <c r="AK13" s="26"/>
      <c r="AT13" s="110"/>
      <c r="AU13" s="111" t="s">
        <v>41</v>
      </c>
      <c r="AV13" s="123">
        <f t="shared" si="3"/>
        <v>5.3695834711250514</v>
      </c>
      <c r="AW13" s="120">
        <f t="shared" si="4"/>
        <v>868339.5</v>
      </c>
      <c r="AX13" s="2"/>
      <c r="AY13" s="2"/>
    </row>
    <row r="14" spans="2:68" x14ac:dyDescent="0.25">
      <c r="B14" s="110"/>
      <c r="C14" s="111" t="s">
        <v>43</v>
      </c>
      <c r="D14" s="112">
        <f>[15]Folha1!$I$46</f>
        <v>0</v>
      </c>
      <c r="E14" s="113">
        <f>[15]Folha1!$Y$53</f>
        <v>831653.39999999979</v>
      </c>
      <c r="F14" s="113">
        <f t="shared" si="13"/>
        <v>43391.900000000009</v>
      </c>
      <c r="G14" s="112">
        <f t="shared" si="5"/>
        <v>0</v>
      </c>
      <c r="H14" s="114">
        <f>'[6]Mensais 07-12 MOD''s'!M49</f>
        <v>127850.10291017215</v>
      </c>
      <c r="I14" s="115">
        <f t="shared" si="9"/>
        <v>0.15373003093617146</v>
      </c>
      <c r="J14" s="114">
        <f t="shared" si="6"/>
        <v>2.9464048108096703</v>
      </c>
      <c r="K14" s="116">
        <f>'[6]Mensais 07-12 MOD''s'!M$55</f>
        <v>75215.409542046851</v>
      </c>
      <c r="L14" s="117">
        <f t="shared" si="10"/>
        <v>9.0440812893985492E-2</v>
      </c>
      <c r="M14" s="116">
        <f t="shared" si="0"/>
        <v>1.7333974668554923</v>
      </c>
      <c r="N14" s="118">
        <f>'[6]Mensais 07-12 MOD''s'!M$61</f>
        <v>0</v>
      </c>
      <c r="O14" s="119">
        <f t="shared" si="11"/>
        <v>0</v>
      </c>
      <c r="P14" s="118">
        <f t="shared" si="1"/>
        <v>0</v>
      </c>
      <c r="Q14" s="113">
        <f t="shared" si="12"/>
        <v>203065.512452219</v>
      </c>
      <c r="R14" s="113">
        <f t="shared" si="7"/>
        <v>0.24417084383015694</v>
      </c>
      <c r="S14" s="120">
        <f t="shared" si="2"/>
        <v>4.6798022776651624</v>
      </c>
      <c r="T14" s="121"/>
      <c r="U14" s="105"/>
      <c r="X14" s="1" t="s">
        <v>44</v>
      </c>
      <c r="Y14" s="106">
        <f t="shared" si="8"/>
        <v>0.24659937362281911</v>
      </c>
      <c r="Z14" s="106">
        <f t="shared" si="8"/>
        <v>4.9979566997758793</v>
      </c>
      <c r="AG14" s="54"/>
      <c r="AJ14" s="73"/>
      <c r="AK14" s="26"/>
      <c r="AT14" s="110"/>
      <c r="AU14" s="111" t="s">
        <v>43</v>
      </c>
      <c r="AV14" s="123">
        <f t="shared" si="3"/>
        <v>4.6798022776651624</v>
      </c>
      <c r="AW14" s="120">
        <f t="shared" si="4"/>
        <v>831653.39999999979</v>
      </c>
      <c r="AX14" s="2"/>
      <c r="AY14" s="2"/>
    </row>
    <row r="15" spans="2:68" x14ac:dyDescent="0.25">
      <c r="B15" s="110"/>
      <c r="C15" s="111" t="s">
        <v>45</v>
      </c>
      <c r="D15" s="112">
        <f>[16]Folha1!$I$46</f>
        <v>0</v>
      </c>
      <c r="E15" s="113">
        <f>[16]Folha1!$Y$53</f>
        <v>859772.7</v>
      </c>
      <c r="F15" s="113">
        <f t="shared" si="13"/>
        <v>43391.900000000009</v>
      </c>
      <c r="G15" s="112">
        <f t="shared" si="5"/>
        <v>0</v>
      </c>
      <c r="H15" s="114">
        <f>'[6]Mensais 07-12 MOD''s'!N$49</f>
        <v>144501.4727832666</v>
      </c>
      <c r="I15" s="115">
        <f t="shared" si="9"/>
        <v>0.16806938948313502</v>
      </c>
      <c r="J15" s="114">
        <f t="shared" si="6"/>
        <v>3.3301485480761746</v>
      </c>
      <c r="K15" s="116">
        <f>'[6]Mensais 07-12 MOD''s'!N$55</f>
        <v>73249.546373437828</v>
      </c>
      <c r="L15" s="117">
        <f t="shared" si="10"/>
        <v>8.5196408740865856E-2</v>
      </c>
      <c r="M15" s="116">
        <f t="shared" si="0"/>
        <v>1.6880926249700476</v>
      </c>
      <c r="N15" s="118">
        <f>'[6]Mensais 07-12 MOD''s'!N$61</f>
        <v>47905.02581882228</v>
      </c>
      <c r="O15" s="119">
        <f t="shared" si="11"/>
        <v>5.5718244855672068E-2</v>
      </c>
      <c r="P15" s="118">
        <f t="shared" si="1"/>
        <v>1.1040084858884325</v>
      </c>
      <c r="Q15" s="113">
        <f t="shared" si="12"/>
        <v>265656.04497552669</v>
      </c>
      <c r="R15" s="113">
        <f t="shared" si="7"/>
        <v>0.30898404307967292</v>
      </c>
      <c r="S15" s="120">
        <f t="shared" si="2"/>
        <v>6.1222496589346544</v>
      </c>
      <c r="T15" s="121"/>
      <c r="U15" s="105"/>
      <c r="X15" s="1" t="s">
        <v>46</v>
      </c>
      <c r="Y15" s="106">
        <f t="shared" si="8"/>
        <v>0.31095538541614592</v>
      </c>
      <c r="Z15" s="106">
        <f t="shared" si="8"/>
        <v>6.2028871277911009</v>
      </c>
      <c r="AG15" s="54"/>
      <c r="AJ15" s="73"/>
      <c r="AK15" s="26"/>
      <c r="AT15" s="110"/>
      <c r="AU15" s="111" t="s">
        <v>45</v>
      </c>
      <c r="AV15" s="123">
        <f t="shared" si="3"/>
        <v>6.1222496589346544</v>
      </c>
      <c r="AW15" s="120">
        <f t="shared" si="4"/>
        <v>859772.7</v>
      </c>
      <c r="AX15" s="2"/>
      <c r="AY15" s="2"/>
    </row>
    <row r="16" spans="2:68" ht="15.75" thickBot="1" x14ac:dyDescent="0.3">
      <c r="B16" s="124"/>
      <c r="C16" s="125" t="s">
        <v>47</v>
      </c>
      <c r="D16" s="126">
        <f>[17]Folha1!$I$46</f>
        <v>0</v>
      </c>
      <c r="E16" s="127">
        <f>[17]Folha1!$Y$53</f>
        <v>955743.89999999979</v>
      </c>
      <c r="F16" s="127">
        <f t="shared" si="13"/>
        <v>43391.900000000009</v>
      </c>
      <c r="G16" s="126">
        <f t="shared" si="5"/>
        <v>0</v>
      </c>
      <c r="H16" s="128">
        <f>'[6]Mensais 07-12 MOD''s'!O49</f>
        <v>162917.20865183364</v>
      </c>
      <c r="I16" s="129">
        <f t="shared" si="9"/>
        <v>0.17046115455388591</v>
      </c>
      <c r="J16" s="128">
        <f t="shared" si="6"/>
        <v>3.7545534685467477</v>
      </c>
      <c r="K16" s="130">
        <f>'[6]Mensais 07-12 MOD''s'!O$55</f>
        <v>74594.027071535369</v>
      </c>
      <c r="L16" s="131">
        <f t="shared" si="10"/>
        <v>7.8048133052730326E-2</v>
      </c>
      <c r="M16" s="130">
        <f t="shared" si="0"/>
        <v>1.7190772257387981</v>
      </c>
      <c r="N16" s="132">
        <f>'[6]Mensais 07-12 MOD''s'!O$61</f>
        <v>150270.17770346755</v>
      </c>
      <c r="O16" s="133">
        <f t="shared" si="11"/>
        <v>0.15722849782610968</v>
      </c>
      <c r="P16" s="132">
        <f t="shared" si="1"/>
        <v>3.4630928284649327</v>
      </c>
      <c r="Q16" s="113">
        <f t="shared" si="12"/>
        <v>387781.41342683655</v>
      </c>
      <c r="R16" s="127">
        <f t="shared" si="7"/>
        <v>0.40573778543272587</v>
      </c>
      <c r="S16" s="134">
        <f t="shared" si="2"/>
        <v>8.9367235227504782</v>
      </c>
      <c r="T16" s="121"/>
      <c r="U16" s="105"/>
      <c r="X16" s="1" t="s">
        <v>48</v>
      </c>
      <c r="Y16" s="106">
        <f t="shared" si="8"/>
        <v>0.40482490121376452</v>
      </c>
      <c r="Z16" s="106">
        <f t="shared" si="8"/>
        <v>8.428683442181482</v>
      </c>
      <c r="AG16" s="54"/>
      <c r="AJ16" s="73"/>
      <c r="AK16" s="26"/>
      <c r="AT16" s="124"/>
      <c r="AU16" s="125" t="s">
        <v>47</v>
      </c>
      <c r="AV16" s="135">
        <f t="shared" si="3"/>
        <v>8.9367235227504782</v>
      </c>
      <c r="AW16" s="134">
        <f t="shared" si="4"/>
        <v>955743.89999999979</v>
      </c>
      <c r="AX16" s="2"/>
      <c r="AY16" s="2"/>
    </row>
    <row r="17" spans="2:64" ht="15" customHeight="1" x14ac:dyDescent="0.25">
      <c r="B17" s="91">
        <v>2008</v>
      </c>
      <c r="C17" s="136" t="s">
        <v>24</v>
      </c>
      <c r="D17" s="96">
        <f>[18]Folha1!$I$46</f>
        <v>0</v>
      </c>
      <c r="E17" s="137">
        <f>[18]Folha1!$Y$53</f>
        <v>920869.09999999974</v>
      </c>
      <c r="F17" s="137">
        <f t="shared" si="13"/>
        <v>43391.900000000009</v>
      </c>
      <c r="G17" s="96">
        <f t="shared" si="5"/>
        <v>0</v>
      </c>
      <c r="H17" s="97">
        <f>'[6]Mensais 07-12 MOD''s'!D$50</f>
        <v>168376.92508732941</v>
      </c>
      <c r="I17" s="138">
        <f t="shared" si="9"/>
        <v>0.18284566730204049</v>
      </c>
      <c r="J17" s="97">
        <f t="shared" si="6"/>
        <v>3.8803768695846315</v>
      </c>
      <c r="K17" s="99">
        <f>'[6]Mensais 07-12 MOD''s'!D$56</f>
        <v>82710.631760324919</v>
      </c>
      <c r="L17" s="139">
        <f t="shared" si="10"/>
        <v>8.9818011876307877E-2</v>
      </c>
      <c r="M17" s="99">
        <f t="shared" si="0"/>
        <v>1.9061306778528919</v>
      </c>
      <c r="N17" s="101">
        <f>'[6]Mensais 07-12 MOD''s'!D$62</f>
        <v>153066.16323704773</v>
      </c>
      <c r="O17" s="140">
        <f t="shared" si="11"/>
        <v>0.16621924140689243</v>
      </c>
      <c r="P17" s="101">
        <f t="shared" si="1"/>
        <v>3.5275284842804231</v>
      </c>
      <c r="Q17" s="137">
        <f>SUM(H17,K17,N17)</f>
        <v>404153.72008470207</v>
      </c>
      <c r="R17" s="137">
        <f t="shared" si="7"/>
        <v>0.43888292058524081</v>
      </c>
      <c r="S17" s="109">
        <f t="shared" si="2"/>
        <v>9.3140360317179471</v>
      </c>
      <c r="T17" s="121"/>
      <c r="U17" s="105"/>
      <c r="X17" s="1"/>
      <c r="Y17" s="106"/>
      <c r="Z17" s="106"/>
      <c r="AT17" s="91">
        <v>2008</v>
      </c>
      <c r="AU17" s="136" t="s">
        <v>24</v>
      </c>
      <c r="AV17" s="108">
        <f t="shared" si="3"/>
        <v>9.3140360317179471</v>
      </c>
      <c r="AW17" s="109">
        <f t="shared" si="4"/>
        <v>920869.09999999974</v>
      </c>
      <c r="AX17" s="2"/>
      <c r="AY17" s="2"/>
    </row>
    <row r="18" spans="2:64" x14ac:dyDescent="0.25">
      <c r="B18" s="110"/>
      <c r="C18" s="111" t="s">
        <v>27</v>
      </c>
      <c r="D18" s="112">
        <f>[19]Folha1!$I$46</f>
        <v>0</v>
      </c>
      <c r="E18" s="113">
        <f>[19]Folha1!$Y$53</f>
        <v>845509.8</v>
      </c>
      <c r="F18" s="113">
        <f t="shared" si="13"/>
        <v>43391.900000000009</v>
      </c>
      <c r="G18" s="112">
        <f t="shared" si="5"/>
        <v>0</v>
      </c>
      <c r="H18" s="114">
        <f>'[6]Mensais 07-12 MOD''s'!E$50</f>
        <v>139221.38981472439</v>
      </c>
      <c r="I18" s="115">
        <f t="shared" si="9"/>
        <v>0.16465969976305939</v>
      </c>
      <c r="J18" s="114">
        <f t="shared" si="6"/>
        <v>3.2084649396482838</v>
      </c>
      <c r="K18" s="116">
        <f>'[6]Mensais 07-12 MOD''s'!E$56</f>
        <v>74461.075334167341</v>
      </c>
      <c r="L18" s="117">
        <f t="shared" si="10"/>
        <v>8.8066484071701284E-2</v>
      </c>
      <c r="M18" s="116">
        <f t="shared" si="0"/>
        <v>1.716013249803934</v>
      </c>
      <c r="N18" s="118">
        <f>'[6]Mensais 07-12 MOD''s'!E$62</f>
        <v>120741.73466298138</v>
      </c>
      <c r="O18" s="119">
        <f t="shared" si="11"/>
        <v>0.14280347154223569</v>
      </c>
      <c r="P18" s="118">
        <f t="shared" si="1"/>
        <v>2.7825869497067739</v>
      </c>
      <c r="Q18" s="113">
        <f>SUM(H18,K18,N18)</f>
        <v>334424.19981187314</v>
      </c>
      <c r="R18" s="113">
        <f t="shared" si="7"/>
        <v>0.39552965537699636</v>
      </c>
      <c r="S18" s="120">
        <f t="shared" si="2"/>
        <v>7.7070651391589919</v>
      </c>
      <c r="T18" s="121"/>
      <c r="U18" s="105"/>
      <c r="AT18" s="110"/>
      <c r="AU18" s="111" t="s">
        <v>27</v>
      </c>
      <c r="AV18" s="123">
        <f t="shared" si="3"/>
        <v>7.7070651391589919</v>
      </c>
      <c r="AW18" s="120">
        <f t="shared" si="4"/>
        <v>845509.8</v>
      </c>
      <c r="AX18" s="2"/>
      <c r="AY18" s="2"/>
    </row>
    <row r="19" spans="2:64" x14ac:dyDescent="0.25">
      <c r="B19" s="110"/>
      <c r="C19" s="111" t="s">
        <v>29</v>
      </c>
      <c r="D19" s="112">
        <f>[20]Folha1!$I$46</f>
        <v>0</v>
      </c>
      <c r="E19" s="113">
        <f>[20]Folha1!$Y$53</f>
        <v>879954.69999999972</v>
      </c>
      <c r="F19" s="113">
        <f t="shared" si="13"/>
        <v>43391.900000000009</v>
      </c>
      <c r="G19" s="112">
        <f t="shared" si="5"/>
        <v>0</v>
      </c>
      <c r="H19" s="114">
        <f>'[6]Mensais 07-12 MOD''s'!F$50</f>
        <v>132921.15613325813</v>
      </c>
      <c r="I19" s="115">
        <f t="shared" si="9"/>
        <v>0.15105454420921688</v>
      </c>
      <c r="J19" s="114">
        <f t="shared" si="6"/>
        <v>3.0632711665831205</v>
      </c>
      <c r="K19" s="116">
        <f>'[6]Mensais 07-12 MOD''s'!F$56</f>
        <v>73817.494341867408</v>
      </c>
      <c r="L19" s="117">
        <f t="shared" si="10"/>
        <v>8.3887834614517584E-2</v>
      </c>
      <c r="M19" s="116">
        <f t="shared" si="0"/>
        <v>1.7011814265304674</v>
      </c>
      <c r="N19" s="118">
        <f>'[6]Mensais 07-12 MOD''s'!F$62</f>
        <v>78126.933898869916</v>
      </c>
      <c r="O19" s="119">
        <f t="shared" si="11"/>
        <v>8.878517712203815E-2</v>
      </c>
      <c r="P19" s="118">
        <f t="shared" si="1"/>
        <v>1.8004958044904671</v>
      </c>
      <c r="Q19" s="113">
        <f t="shared" ref="Q19:Q28" si="14">SUM(H19,K19,N19)</f>
        <v>284865.58437399543</v>
      </c>
      <c r="R19" s="113">
        <f t="shared" si="7"/>
        <v>0.32372755594577257</v>
      </c>
      <c r="S19" s="120">
        <f t="shared" si="2"/>
        <v>6.5649483976040548</v>
      </c>
      <c r="T19" s="121"/>
      <c r="U19" s="105"/>
      <c r="AT19" s="110"/>
      <c r="AU19" s="111" t="s">
        <v>29</v>
      </c>
      <c r="AV19" s="123">
        <f t="shared" si="3"/>
        <v>6.5649483976040548</v>
      </c>
      <c r="AW19" s="120">
        <f t="shared" si="4"/>
        <v>879954.69999999972</v>
      </c>
      <c r="AX19" s="2"/>
      <c r="AY19" s="2"/>
    </row>
    <row r="20" spans="2:64" x14ac:dyDescent="0.25">
      <c r="B20" s="110"/>
      <c r="C20" s="111" t="s">
        <v>31</v>
      </c>
      <c r="D20" s="112">
        <f>[21]Folha1!$I$46</f>
        <v>0</v>
      </c>
      <c r="E20" s="113">
        <f>[21]Folha1!$Y$53</f>
        <v>878886</v>
      </c>
      <c r="F20" s="113">
        <f t="shared" si="13"/>
        <v>43391.900000000009</v>
      </c>
      <c r="G20" s="112">
        <f t="shared" si="5"/>
        <v>0</v>
      </c>
      <c r="H20" s="114">
        <f>'[6]Mensais 07-12 MOD''s'!G$50</f>
        <v>121844.24581486464</v>
      </c>
      <c r="I20" s="115">
        <f t="shared" si="9"/>
        <v>0.13863486938563663</v>
      </c>
      <c r="J20" s="114">
        <f t="shared" si="6"/>
        <v>2.8079951745571088</v>
      </c>
      <c r="K20" s="116">
        <f>'[6]Mensais 07-12 MOD''s'!G$56</f>
        <v>63096.926568178787</v>
      </c>
      <c r="L20" s="117">
        <f t="shared" si="10"/>
        <v>7.1791934981532066E-2</v>
      </c>
      <c r="M20" s="116">
        <f t="shared" si="0"/>
        <v>1.4541176249064636</v>
      </c>
      <c r="N20" s="118">
        <f>'[6]Mensais 07-12 MOD''s'!G$62</f>
        <v>9435.2762123677894</v>
      </c>
      <c r="O20" s="119">
        <f t="shared" si="11"/>
        <v>1.0735494947430941E-2</v>
      </c>
      <c r="P20" s="118">
        <f t="shared" si="1"/>
        <v>0.21744326043265649</v>
      </c>
      <c r="Q20" s="113">
        <f t="shared" si="14"/>
        <v>194376.4485954112</v>
      </c>
      <c r="R20" s="113">
        <f t="shared" si="7"/>
        <v>0.22116229931459963</v>
      </c>
      <c r="S20" s="120">
        <f t="shared" si="2"/>
        <v>4.479556059896229</v>
      </c>
      <c r="T20" s="121"/>
      <c r="U20" s="105"/>
      <c r="Z20" s="122"/>
      <c r="AT20" s="110"/>
      <c r="AU20" s="111" t="s">
        <v>31</v>
      </c>
      <c r="AV20" s="123">
        <f t="shared" si="3"/>
        <v>4.479556059896229</v>
      </c>
      <c r="AW20" s="120">
        <f t="shared" si="4"/>
        <v>878886</v>
      </c>
      <c r="AX20" s="2"/>
      <c r="AY20" s="2"/>
    </row>
    <row r="21" spans="2:64" x14ac:dyDescent="0.25">
      <c r="B21" s="110"/>
      <c r="C21" s="111" t="s">
        <v>33</v>
      </c>
      <c r="D21" s="112">
        <f>[22]Folha1!$I$46</f>
        <v>0</v>
      </c>
      <c r="E21" s="113">
        <f>[22]Folha1!$Y$53</f>
        <v>896256.49999999977</v>
      </c>
      <c r="F21" s="113">
        <f t="shared" si="13"/>
        <v>43391.900000000009</v>
      </c>
      <c r="G21" s="112">
        <f t="shared" si="5"/>
        <v>0</v>
      </c>
      <c r="H21" s="114">
        <f>'[6]Mensais 07-12 MOD''s'!H$50</f>
        <v>132695.65366928131</v>
      </c>
      <c r="I21" s="115">
        <f t="shared" si="9"/>
        <v>0.14805544358036046</v>
      </c>
      <c r="J21" s="114">
        <f t="shared" si="6"/>
        <v>3.0580742873504336</v>
      </c>
      <c r="K21" s="116">
        <f>'[6]Mensais 07-12 MOD''s'!H$56</f>
        <v>72425.523100925318</v>
      </c>
      <c r="L21" s="117">
        <f t="shared" si="10"/>
        <v>8.0808923674110411E-2</v>
      </c>
      <c r="M21" s="116">
        <f t="shared" si="0"/>
        <v>1.6691023693575369</v>
      </c>
      <c r="N21" s="118">
        <f>'[6]Mensais 07-12 MOD''s'!H$62</f>
        <v>0</v>
      </c>
      <c r="O21" s="119">
        <f t="shared" si="11"/>
        <v>0</v>
      </c>
      <c r="P21" s="118">
        <f t="shared" si="1"/>
        <v>0</v>
      </c>
      <c r="Q21" s="113">
        <f t="shared" si="14"/>
        <v>205121.17677020663</v>
      </c>
      <c r="R21" s="113">
        <f t="shared" si="7"/>
        <v>0.22886436725447087</v>
      </c>
      <c r="S21" s="120">
        <f t="shared" si="2"/>
        <v>4.7271766567079707</v>
      </c>
      <c r="T21" s="121"/>
      <c r="U21" s="105"/>
      <c r="AT21" s="110"/>
      <c r="AU21" s="111" t="s">
        <v>33</v>
      </c>
      <c r="AV21" s="123">
        <f t="shared" si="3"/>
        <v>4.7271766567079707</v>
      </c>
      <c r="AW21" s="120">
        <f t="shared" si="4"/>
        <v>896256.49999999977</v>
      </c>
      <c r="AX21" s="2"/>
      <c r="AY21" s="2"/>
    </row>
    <row r="22" spans="2:64" x14ac:dyDescent="0.25">
      <c r="B22" s="110"/>
      <c r="C22" s="111" t="s">
        <v>35</v>
      </c>
      <c r="D22" s="112">
        <f>[23]Folha1!$I$46</f>
        <v>0</v>
      </c>
      <c r="E22" s="113">
        <f>[23]Folha1!$Y$53</f>
        <v>879312.2</v>
      </c>
      <c r="F22" s="113">
        <f t="shared" si="13"/>
        <v>43391.900000000009</v>
      </c>
      <c r="G22" s="112">
        <f t="shared" si="5"/>
        <v>0</v>
      </c>
      <c r="H22" s="114">
        <f>'[6]Mensais 07-12 MOD''s'!I$50</f>
        <v>113789.0622277287</v>
      </c>
      <c r="I22" s="115">
        <f t="shared" si="9"/>
        <v>0.129406895784829</v>
      </c>
      <c r="J22" s="114">
        <f t="shared" si="6"/>
        <v>2.6223572193826192</v>
      </c>
      <c r="K22" s="116">
        <f>'[6]Mensais 07-12 MOD''s'!I$56</f>
        <v>102106.58044409135</v>
      </c>
      <c r="L22" s="117">
        <f t="shared" si="10"/>
        <v>0.11612096414003054</v>
      </c>
      <c r="M22" s="116">
        <f t="shared" si="0"/>
        <v>2.3531253631228717</v>
      </c>
      <c r="N22" s="118">
        <f>'[6]Mensais 07-12 MOD''s'!I$62</f>
        <v>0</v>
      </c>
      <c r="O22" s="119">
        <f t="shared" si="11"/>
        <v>0</v>
      </c>
      <c r="P22" s="118">
        <f t="shared" si="1"/>
        <v>0</v>
      </c>
      <c r="Q22" s="113">
        <f t="shared" si="14"/>
        <v>215895.64267182007</v>
      </c>
      <c r="R22" s="113">
        <f t="shared" si="7"/>
        <v>0.24552785992485954</v>
      </c>
      <c r="S22" s="120">
        <f t="shared" si="2"/>
        <v>4.9754825825054914</v>
      </c>
      <c r="T22" s="121"/>
      <c r="U22" s="105"/>
      <c r="AT22" s="110"/>
      <c r="AU22" s="111" t="s">
        <v>35</v>
      </c>
      <c r="AV22" s="123">
        <f t="shared" si="3"/>
        <v>4.9754825825054914</v>
      </c>
      <c r="AW22" s="120">
        <f t="shared" si="4"/>
        <v>879312.2</v>
      </c>
      <c r="AX22" s="2"/>
      <c r="AY22" s="2"/>
    </row>
    <row r="23" spans="2:64" x14ac:dyDescent="0.25">
      <c r="B23" s="110"/>
      <c r="C23" s="111" t="s">
        <v>37</v>
      </c>
      <c r="D23" s="112">
        <f>[24]Folha1!$I$46</f>
        <v>0</v>
      </c>
      <c r="E23" s="113">
        <f>[24]Folha1!$Y$53</f>
        <v>941599.59999999986</v>
      </c>
      <c r="F23" s="113">
        <f t="shared" si="13"/>
        <v>43391.900000000009</v>
      </c>
      <c r="G23" s="112">
        <f t="shared" si="5"/>
        <v>0</v>
      </c>
      <c r="H23" s="114">
        <f>'[6]Mensais 07-12 MOD''s'!J$50</f>
        <v>128130.79070343323</v>
      </c>
      <c r="I23" s="115">
        <f t="shared" si="9"/>
        <v>0.13607778795087982</v>
      </c>
      <c r="J23" s="114">
        <f t="shared" si="6"/>
        <v>2.9528734787698441</v>
      </c>
      <c r="K23" s="116">
        <f>'[6]Mensais 07-12 MOD''s'!J$56</f>
        <v>128876.07660069615</v>
      </c>
      <c r="L23" s="117">
        <f t="shared" si="10"/>
        <v>0.13686929837342346</v>
      </c>
      <c r="M23" s="116">
        <f t="shared" si="0"/>
        <v>2.970049170483342</v>
      </c>
      <c r="N23" s="118">
        <f>'[6]Mensais 07-12 MOD''s'!J$62</f>
        <v>0</v>
      </c>
      <c r="O23" s="119">
        <f t="shared" si="11"/>
        <v>0</v>
      </c>
      <c r="P23" s="118">
        <f t="shared" si="1"/>
        <v>0</v>
      </c>
      <c r="Q23" s="113">
        <f t="shared" si="14"/>
        <v>257006.86730412938</v>
      </c>
      <c r="R23" s="113">
        <f t="shared" si="7"/>
        <v>0.27294708632430326</v>
      </c>
      <c r="S23" s="120">
        <f t="shared" si="2"/>
        <v>5.9229226492531861</v>
      </c>
      <c r="T23" s="121"/>
      <c r="U23" s="105"/>
      <c r="AT23" s="110"/>
      <c r="AU23" s="111" t="s">
        <v>37</v>
      </c>
      <c r="AV23" s="123">
        <f t="shared" si="3"/>
        <v>5.9229226492531861</v>
      </c>
      <c r="AW23" s="120">
        <f t="shared" si="4"/>
        <v>941599.59999999986</v>
      </c>
      <c r="AX23" s="2"/>
      <c r="AY23" s="2"/>
      <c r="BJ23" s="90" t="s">
        <v>3</v>
      </c>
      <c r="BK23" s="90" t="s">
        <v>22</v>
      </c>
      <c r="BL23" s="90" t="s">
        <v>10</v>
      </c>
    </row>
    <row r="24" spans="2:64" x14ac:dyDescent="0.25">
      <c r="B24" s="110"/>
      <c r="C24" s="111" t="s">
        <v>39</v>
      </c>
      <c r="D24" s="112">
        <f>[25]Folha1!$I$46</f>
        <v>0</v>
      </c>
      <c r="E24" s="113">
        <f>[25]Folha1!$Y$53</f>
        <v>952899.19999999972</v>
      </c>
      <c r="F24" s="113">
        <f t="shared" si="13"/>
        <v>43391.900000000009</v>
      </c>
      <c r="G24" s="112">
        <f t="shared" si="5"/>
        <v>0</v>
      </c>
      <c r="H24" s="114">
        <f>'[6]Mensais 07-12 MOD''s'!K$50</f>
        <v>119879.01668668447</v>
      </c>
      <c r="I24" s="115">
        <f t="shared" si="9"/>
        <v>0.12580450973899915</v>
      </c>
      <c r="J24" s="114">
        <f t="shared" si="6"/>
        <v>2.7627049446252512</v>
      </c>
      <c r="K24" s="116">
        <f>'[6]Mensais 07-12 MOD''s'!K$56</f>
        <v>141651.24167574741</v>
      </c>
      <c r="L24" s="117">
        <f t="shared" si="10"/>
        <v>0.14865291279051074</v>
      </c>
      <c r="M24" s="116">
        <f t="shared" si="0"/>
        <v>3.2644627609242134</v>
      </c>
      <c r="N24" s="118">
        <f>'[6]Mensais 07-12 MOD''s'!K$62</f>
        <v>0</v>
      </c>
      <c r="O24" s="119">
        <f t="shared" si="11"/>
        <v>0</v>
      </c>
      <c r="P24" s="118">
        <f t="shared" si="1"/>
        <v>0</v>
      </c>
      <c r="Q24" s="113">
        <f t="shared" si="14"/>
        <v>261530.25836243189</v>
      </c>
      <c r="R24" s="113">
        <f t="shared" si="7"/>
        <v>0.27445742252950989</v>
      </c>
      <c r="S24" s="120">
        <f t="shared" si="2"/>
        <v>6.0271677055494655</v>
      </c>
      <c r="T24" s="121"/>
      <c r="U24" s="105"/>
      <c r="AT24" s="110"/>
      <c r="AU24" s="111" t="s">
        <v>39</v>
      </c>
      <c r="AV24" s="123">
        <f t="shared" si="3"/>
        <v>6.0271677055494655</v>
      </c>
      <c r="AW24" s="120">
        <f t="shared" si="4"/>
        <v>952899.19999999972</v>
      </c>
      <c r="AX24" s="2"/>
      <c r="AY24" s="2"/>
      <c r="BJ24" s="90">
        <v>2007</v>
      </c>
      <c r="BK24" s="141">
        <f>AVERAGE(AW5:AW7)</f>
        <v>804166.53333333321</v>
      </c>
      <c r="BL24" s="141">
        <f>AVERAGE(AV5:AV7)</f>
        <v>8.005459223763749</v>
      </c>
    </row>
    <row r="25" spans="2:64" x14ac:dyDescent="0.25">
      <c r="B25" s="110"/>
      <c r="C25" s="111" t="s">
        <v>41</v>
      </c>
      <c r="D25" s="112">
        <f>[26]Folha1!$I$46</f>
        <v>0</v>
      </c>
      <c r="E25" s="113">
        <f>[26]Folha1!$Y$53</f>
        <v>857407.2</v>
      </c>
      <c r="F25" s="113">
        <f t="shared" si="13"/>
        <v>43391.900000000009</v>
      </c>
      <c r="G25" s="112">
        <f t="shared" si="5"/>
        <v>0</v>
      </c>
      <c r="H25" s="114">
        <f>'[6]Mensais 07-12 MOD''s'!L$50</f>
        <v>114438.22967897165</v>
      </c>
      <c r="I25" s="115">
        <f t="shared" si="9"/>
        <v>0.13347010577817828</v>
      </c>
      <c r="J25" s="114">
        <f t="shared" si="6"/>
        <v>2.6373177869365394</v>
      </c>
      <c r="K25" s="116">
        <f>'[6]Mensais 07-12 MOD''s'!L$56</f>
        <v>119224.49004263975</v>
      </c>
      <c r="L25" s="117">
        <f t="shared" si="10"/>
        <v>0.13905235463690968</v>
      </c>
      <c r="M25" s="116">
        <f t="shared" si="0"/>
        <v>2.747620870315421</v>
      </c>
      <c r="N25" s="118">
        <f>'[6]Mensais 07-12 MOD''s'!L$62</f>
        <v>0</v>
      </c>
      <c r="O25" s="119">
        <f t="shared" si="11"/>
        <v>0</v>
      </c>
      <c r="P25" s="118">
        <f t="shared" si="1"/>
        <v>0</v>
      </c>
      <c r="Q25" s="113">
        <f t="shared" si="14"/>
        <v>233662.71972161141</v>
      </c>
      <c r="R25" s="113">
        <f t="shared" si="7"/>
        <v>0.27252246041508799</v>
      </c>
      <c r="S25" s="120">
        <f t="shared" si="2"/>
        <v>5.3849386572519613</v>
      </c>
      <c r="T25" s="121"/>
      <c r="U25" s="105"/>
      <c r="AT25" s="110"/>
      <c r="AU25" s="111" t="s">
        <v>41</v>
      </c>
      <c r="AV25" s="123">
        <f t="shared" si="3"/>
        <v>5.3849386572519613</v>
      </c>
      <c r="AW25" s="120">
        <f t="shared" si="4"/>
        <v>857407.2</v>
      </c>
      <c r="AX25" s="2"/>
      <c r="AY25" s="2"/>
      <c r="BJ25" s="90">
        <v>2008</v>
      </c>
      <c r="BK25" s="142">
        <f>AVERAGE(AW17:AW19)</f>
        <v>882111.19999999984</v>
      </c>
      <c r="BL25" s="142">
        <f>AVERAGE(AV17:AV19)</f>
        <v>7.8620165228269983</v>
      </c>
    </row>
    <row r="26" spans="2:64" x14ac:dyDescent="0.25">
      <c r="B26" s="110"/>
      <c r="C26" s="111" t="s">
        <v>43</v>
      </c>
      <c r="D26" s="112">
        <f>[27]Folha1!$I$46</f>
        <v>0</v>
      </c>
      <c r="E26" s="113">
        <f>[27]Folha1!$Y$53</f>
        <v>916556.19999999972</v>
      </c>
      <c r="F26" s="113">
        <f t="shared" si="13"/>
        <v>43391.900000000009</v>
      </c>
      <c r="G26" s="112">
        <f t="shared" si="5"/>
        <v>0</v>
      </c>
      <c r="H26" s="114">
        <f>'[6]Mensais 07-12 MOD''s'!M$50</f>
        <v>125483.54761291607</v>
      </c>
      <c r="I26" s="115">
        <f t="shared" si="9"/>
        <v>0.13690764146586548</v>
      </c>
      <c r="J26" s="114">
        <f t="shared" si="6"/>
        <v>2.8918657079527756</v>
      </c>
      <c r="K26" s="116">
        <f>'[6]Mensais 07-12 MOD''s'!M$56</f>
        <v>76913.517110882865</v>
      </c>
      <c r="L26" s="117">
        <f t="shared" si="10"/>
        <v>8.3915767642925645E-2</v>
      </c>
      <c r="M26" s="116">
        <f t="shared" si="0"/>
        <v>1.7725316732128082</v>
      </c>
      <c r="N26" s="118">
        <f>'[6]Mensais 07-12 MOD''s'!M$62</f>
        <v>0</v>
      </c>
      <c r="O26" s="119">
        <f t="shared" si="11"/>
        <v>0</v>
      </c>
      <c r="P26" s="118">
        <f t="shared" si="1"/>
        <v>0</v>
      </c>
      <c r="Q26" s="113">
        <f t="shared" si="14"/>
        <v>202397.06472379895</v>
      </c>
      <c r="R26" s="113">
        <f t="shared" si="7"/>
        <v>0.22082340910879117</v>
      </c>
      <c r="S26" s="120">
        <f t="shared" si="2"/>
        <v>4.6643973811655837</v>
      </c>
      <c r="T26" s="121"/>
      <c r="U26" s="105"/>
      <c r="AT26" s="110"/>
      <c r="AU26" s="111" t="s">
        <v>43</v>
      </c>
      <c r="AV26" s="123">
        <f t="shared" si="3"/>
        <v>4.6643973811655837</v>
      </c>
      <c r="AW26" s="120">
        <f t="shared" si="4"/>
        <v>916556.19999999972</v>
      </c>
      <c r="AX26" s="2"/>
      <c r="AY26" s="2"/>
      <c r="BJ26" s="90">
        <v>2009</v>
      </c>
      <c r="BK26" s="142">
        <f>AVERAGE(AW29:AW31)</f>
        <v>902189.56999999983</v>
      </c>
      <c r="BL26" s="142">
        <f>AVERAGE(AV29:AV31)</f>
        <v>8.0939858575570707</v>
      </c>
    </row>
    <row r="27" spans="2:64" x14ac:dyDescent="0.25">
      <c r="B27" s="110"/>
      <c r="C27" s="111" t="s">
        <v>45</v>
      </c>
      <c r="D27" s="112">
        <f>[28]Folha1!$I$46</f>
        <v>0</v>
      </c>
      <c r="E27" s="113">
        <f>[28]Folha1!$Y$53</f>
        <v>853680.2</v>
      </c>
      <c r="F27" s="113">
        <f t="shared" si="13"/>
        <v>43391.900000000009</v>
      </c>
      <c r="G27" s="112">
        <f t="shared" si="5"/>
        <v>0</v>
      </c>
      <c r="H27" s="114">
        <f>'[6]Mensais 07-12 MOD''s'!N$50</f>
        <v>132629.20821754538</v>
      </c>
      <c r="I27" s="115">
        <f t="shared" si="9"/>
        <v>0.15536170127589394</v>
      </c>
      <c r="J27" s="114">
        <f t="shared" si="6"/>
        <v>3.0565430003651683</v>
      </c>
      <c r="K27" s="116">
        <f>'[6]Mensais 07-12 MOD''s'!N$56</f>
        <v>67559.45749445603</v>
      </c>
      <c r="L27" s="117">
        <f t="shared" si="10"/>
        <v>7.9139070455723395E-2</v>
      </c>
      <c r="M27" s="116">
        <f t="shared" si="0"/>
        <v>1.5569601122434376</v>
      </c>
      <c r="N27" s="118">
        <f>'[6]Mensais 07-12 MOD''s'!N$62</f>
        <v>91858.736523218278</v>
      </c>
      <c r="O27" s="119">
        <f t="shared" si="11"/>
        <v>0.1076032178363962</v>
      </c>
      <c r="P27" s="118">
        <f t="shared" si="1"/>
        <v>2.1169558494377583</v>
      </c>
      <c r="Q27" s="113">
        <f t="shared" si="14"/>
        <v>292047.40223521972</v>
      </c>
      <c r="R27" s="113">
        <f t="shared" si="7"/>
        <v>0.34210398956801358</v>
      </c>
      <c r="S27" s="120">
        <f t="shared" si="2"/>
        <v>6.7304589620463648</v>
      </c>
      <c r="T27" s="121"/>
      <c r="U27" s="105"/>
      <c r="AT27" s="110"/>
      <c r="AU27" s="111" t="s">
        <v>45</v>
      </c>
      <c r="AV27" s="123">
        <f t="shared" si="3"/>
        <v>6.7304589620463648</v>
      </c>
      <c r="AW27" s="120">
        <f t="shared" si="4"/>
        <v>853680.2</v>
      </c>
      <c r="AX27" s="2"/>
      <c r="AY27" s="2"/>
      <c r="BJ27" s="90">
        <v>2010</v>
      </c>
      <c r="BK27" s="142">
        <f>AVERAGE(AW41:AW43)</f>
        <v>856920.78333333321</v>
      </c>
      <c r="BL27" s="142">
        <f>AVERAGE(AV41:AV43)</f>
        <v>9.1732808898542526</v>
      </c>
    </row>
    <row r="28" spans="2:64" ht="15.75" thickBot="1" x14ac:dyDescent="0.3">
      <c r="B28" s="124"/>
      <c r="C28" s="125" t="s">
        <v>47</v>
      </c>
      <c r="D28" s="126">
        <f>[29]Folha1!$I$46</f>
        <v>0</v>
      </c>
      <c r="E28" s="127">
        <f>[29]Folha1!$Y$53</f>
        <v>923264.04999999981</v>
      </c>
      <c r="F28" s="127">
        <f t="shared" si="13"/>
        <v>43391.900000000009</v>
      </c>
      <c r="G28" s="126">
        <f t="shared" si="5"/>
        <v>0</v>
      </c>
      <c r="H28" s="128">
        <f>'[6]Mensais 07-12 MOD''s'!O$50</f>
        <v>147920.08639782105</v>
      </c>
      <c r="I28" s="129">
        <f t="shared" si="9"/>
        <v>0.16021428149165029</v>
      </c>
      <c r="J28" s="128">
        <f t="shared" si="6"/>
        <v>3.4089331510678496</v>
      </c>
      <c r="K28" s="130">
        <f>'[6]Mensais 07-12 MOD''s'!O$56</f>
        <v>90290.406522406905</v>
      </c>
      <c r="L28" s="131">
        <f t="shared" si="10"/>
        <v>9.7794782026232818E-2</v>
      </c>
      <c r="M28" s="130">
        <f t="shared" si="0"/>
        <v>2.0808124678201896</v>
      </c>
      <c r="N28" s="132">
        <f>'[6]Mensais 07-12 MOD''s'!O$62</f>
        <v>183578.15404298942</v>
      </c>
      <c r="O28" s="133">
        <f t="shared" si="11"/>
        <v>0.19883602534181793</v>
      </c>
      <c r="P28" s="132">
        <f t="shared" si="1"/>
        <v>4.2307009843539785</v>
      </c>
      <c r="Q28" s="113">
        <f t="shared" si="14"/>
        <v>421788.64696321741</v>
      </c>
      <c r="R28" s="127">
        <f t="shared" si="7"/>
        <v>0.4568450888597011</v>
      </c>
      <c r="S28" s="134">
        <f t="shared" si="2"/>
        <v>9.7204466032420189</v>
      </c>
      <c r="T28" s="121"/>
      <c r="U28" s="105"/>
      <c r="AT28" s="124"/>
      <c r="AU28" s="125" t="s">
        <v>47</v>
      </c>
      <c r="AV28" s="135">
        <f t="shared" si="3"/>
        <v>9.7204466032420189</v>
      </c>
      <c r="AW28" s="134">
        <f t="shared" si="4"/>
        <v>923264.04999999981</v>
      </c>
      <c r="AX28" s="2"/>
      <c r="AY28" s="2"/>
      <c r="BJ28" s="90">
        <v>2011</v>
      </c>
      <c r="BK28" s="142">
        <f>AVERAGE(AW53:AW55)</f>
        <v>831958.6666666664</v>
      </c>
      <c r="BL28" s="142">
        <f>AVERAGE(AV53:AV55)</f>
        <v>7.6597041755482662</v>
      </c>
    </row>
    <row r="29" spans="2:64" ht="15" customHeight="1" x14ac:dyDescent="0.25">
      <c r="B29" s="91">
        <v>2009</v>
      </c>
      <c r="C29" s="136" t="s">
        <v>24</v>
      </c>
      <c r="D29" s="96">
        <f>[30]Folha1!$I$47</f>
        <v>17.3</v>
      </c>
      <c r="E29" s="137">
        <f>[30]Folha1!$Y$53</f>
        <v>912854.10999999975</v>
      </c>
      <c r="F29" s="137">
        <f t="shared" si="13"/>
        <v>43391.900000000009</v>
      </c>
      <c r="G29" s="96">
        <f t="shared" si="5"/>
        <v>3.9869192176420019E-4</v>
      </c>
      <c r="H29" s="97">
        <f>'[6]Mensais 07-12 MOD''s'!D$51</f>
        <v>140087.10681812651</v>
      </c>
      <c r="I29" s="138">
        <f t="shared" si="9"/>
        <v>0.15346056427146562</v>
      </c>
      <c r="J29" s="97">
        <f t="shared" si="6"/>
        <v>3.2284160596361646</v>
      </c>
      <c r="K29" s="99">
        <f>'[6]Mensais 07-12 MOD''s'!D$57</f>
        <v>81538.180583226043</v>
      </c>
      <c r="L29" s="139">
        <f t="shared" si="10"/>
        <v>8.9322247322987963E-2</v>
      </c>
      <c r="M29" s="99">
        <f t="shared" si="0"/>
        <v>1.8791106308602763</v>
      </c>
      <c r="N29" s="101">
        <f>'[6]Mensais 07-12 MOD''s'!D$63</f>
        <v>226545.46553327411</v>
      </c>
      <c r="O29" s="140">
        <f t="shared" si="11"/>
        <v>0.24817269599988345</v>
      </c>
      <c r="P29" s="101">
        <f t="shared" si="1"/>
        <v>5.2209160127414114</v>
      </c>
      <c r="Q29" s="137">
        <f>SUM(H29,K29,N29)</f>
        <v>448170.75293462665</v>
      </c>
      <c r="R29" s="137">
        <f t="shared" si="7"/>
        <v>0.49095550759433704</v>
      </c>
      <c r="S29" s="109">
        <f t="shared" si="2"/>
        <v>10.328442703237853</v>
      </c>
      <c r="T29" s="121"/>
      <c r="U29" s="105"/>
      <c r="AT29" s="91">
        <v>2009</v>
      </c>
      <c r="AU29" s="136" t="s">
        <v>24</v>
      </c>
      <c r="AV29" s="108">
        <f t="shared" si="3"/>
        <v>10.328442703237853</v>
      </c>
      <c r="AW29" s="109">
        <f t="shared" si="4"/>
        <v>912854.10999999975</v>
      </c>
      <c r="AX29" s="2"/>
      <c r="AY29" s="2"/>
      <c r="BJ29" s="90">
        <v>2012</v>
      </c>
      <c r="BK29" s="142">
        <f>AVERAGE(AW65:AW67)</f>
        <v>862687.73333333328</v>
      </c>
      <c r="BL29" s="142">
        <f>AVERAGE(AV65:AV67)</f>
        <v>7.8566487662714932</v>
      </c>
    </row>
    <row r="30" spans="2:64" x14ac:dyDescent="0.25">
      <c r="B30" s="110"/>
      <c r="C30" s="111" t="s">
        <v>27</v>
      </c>
      <c r="D30" s="112">
        <f>[31]Folha1!$I$47</f>
        <v>17.900000000000002</v>
      </c>
      <c r="E30" s="113">
        <f>[31]Folha1!$Y$53</f>
        <v>811326.29999999981</v>
      </c>
      <c r="F30" s="113">
        <f>$F$6</f>
        <v>43391.900000000009</v>
      </c>
      <c r="G30" s="112">
        <f t="shared" si="5"/>
        <v>4.1251938725891236E-4</v>
      </c>
      <c r="H30" s="114">
        <f>'[6]Mensais 07-12 MOD''s'!E$51</f>
        <v>116252.54445727274</v>
      </c>
      <c r="I30" s="115">
        <f t="shared" si="9"/>
        <v>0.14328704056219152</v>
      </c>
      <c r="J30" s="114">
        <f t="shared" si="6"/>
        <v>2.6791300785923804</v>
      </c>
      <c r="K30" s="116">
        <f>'[6]Mensais 07-12 MOD''s'!E$57</f>
        <v>67425.910865990096</v>
      </c>
      <c r="L30" s="117">
        <f t="shared" si="10"/>
        <v>8.3105787235037379E-2</v>
      </c>
      <c r="M30" s="116">
        <f t="shared" si="0"/>
        <v>1.5538824265816911</v>
      </c>
      <c r="N30" s="118">
        <f>'[6]Mensais 07-12 MOD''s'!E$63</f>
        <v>147573.38022015718</v>
      </c>
      <c r="O30" s="119">
        <f t="shared" si="11"/>
        <v>0.1818915277615889</v>
      </c>
      <c r="P30" s="118">
        <f t="shared" si="1"/>
        <v>3.4009430382204315</v>
      </c>
      <c r="Q30" s="113">
        <f>SUM(H30,K30,N30)</f>
        <v>331251.83554342005</v>
      </c>
      <c r="R30" s="113">
        <f t="shared" si="7"/>
        <v>0.40828435555881787</v>
      </c>
      <c r="S30" s="120">
        <f t="shared" si="2"/>
        <v>7.6339555433945039</v>
      </c>
      <c r="T30" s="121"/>
      <c r="U30" s="105"/>
      <c r="AT30" s="110"/>
      <c r="AU30" s="111" t="s">
        <v>27</v>
      </c>
      <c r="AV30" s="123">
        <f t="shared" si="3"/>
        <v>7.6339555433945039</v>
      </c>
      <c r="AW30" s="120">
        <f t="shared" si="4"/>
        <v>811326.29999999981</v>
      </c>
      <c r="AX30" s="2"/>
      <c r="AY30" s="2"/>
    </row>
    <row r="31" spans="2:64" x14ac:dyDescent="0.25">
      <c r="B31" s="110"/>
      <c r="C31" s="111" t="s">
        <v>29</v>
      </c>
      <c r="D31" s="112">
        <f>[32]Folha1!$I$49</f>
        <v>69.933512750920627</v>
      </c>
      <c r="E31" s="113">
        <f>[32]Folha1!$Y$53</f>
        <v>982388.29999999981</v>
      </c>
      <c r="F31" s="113">
        <f t="shared" ref="F31:F76" si="15">$F$6</f>
        <v>43391.900000000009</v>
      </c>
      <c r="G31" s="112">
        <f t="shared" si="5"/>
        <v>1.6116720574789445E-3</v>
      </c>
      <c r="H31" s="114">
        <f>'[6]Mensais 07-12 MOD''s'!F$51</f>
        <v>131337.83105237747</v>
      </c>
      <c r="I31" s="115">
        <f t="shared" si="9"/>
        <v>0.13369238116168269</v>
      </c>
      <c r="J31" s="114">
        <f t="shared" si="6"/>
        <v>3.0267822117118044</v>
      </c>
      <c r="K31" s="116">
        <f>'[6]Mensais 07-12 MOD''s'!F$57</f>
        <v>93748.208196884574</v>
      </c>
      <c r="L31" s="117">
        <f t="shared" si="10"/>
        <v>9.5428872877338408E-2</v>
      </c>
      <c r="M31" s="116">
        <f t="shared" si="0"/>
        <v>2.1605001900558527</v>
      </c>
      <c r="N31" s="118">
        <f>'[6]Mensais 07-12 MOD''s'!F$63</f>
        <v>49131.64707028347</v>
      </c>
      <c r="O31" s="119">
        <f t="shared" si="11"/>
        <v>5.0012451359898603E-2</v>
      </c>
      <c r="P31" s="118">
        <f t="shared" si="1"/>
        <v>1.1322769242711994</v>
      </c>
      <c r="Q31" s="113">
        <f t="shared" ref="Q31:Q39" si="16">SUM(H31,K31,N31)</f>
        <v>274217.68631954549</v>
      </c>
      <c r="R31" s="113">
        <f t="shared" si="7"/>
        <v>0.27913370539891968</v>
      </c>
      <c r="S31" s="120">
        <f t="shared" si="2"/>
        <v>6.3195593260388563</v>
      </c>
      <c r="T31" s="121"/>
      <c r="U31" s="105"/>
      <c r="AT31" s="110"/>
      <c r="AU31" s="111" t="s">
        <v>29</v>
      </c>
      <c r="AV31" s="123">
        <f t="shared" si="3"/>
        <v>6.3195593260388563</v>
      </c>
      <c r="AW31" s="120">
        <f t="shared" si="4"/>
        <v>982388.29999999981</v>
      </c>
      <c r="AX31" s="2"/>
      <c r="AY31" s="2"/>
      <c r="BK31" s="122">
        <f>MAX(BK24:BK29,BK39:BK44,BK56:BK61,BK72:BK77)</f>
        <v>917301.99999999988</v>
      </c>
    </row>
    <row r="32" spans="2:64" x14ac:dyDescent="0.25">
      <c r="B32" s="110"/>
      <c r="C32" s="111" t="s">
        <v>31</v>
      </c>
      <c r="D32" s="112">
        <f>[33]Folha1!$I$49</f>
        <v>71.149036145762679</v>
      </c>
      <c r="E32" s="113">
        <f>[33]Folha1!$Y$53</f>
        <v>946424.24</v>
      </c>
      <c r="F32" s="113">
        <f t="shared" si="15"/>
        <v>43391.900000000009</v>
      </c>
      <c r="G32" s="112">
        <f t="shared" si="5"/>
        <v>1.6396847371459343E-3</v>
      </c>
      <c r="H32" s="114">
        <f>'[6]Mensais 07-12 MOD''s'!G$51</f>
        <v>125682.52263945162</v>
      </c>
      <c r="I32" s="115">
        <f t="shared" si="9"/>
        <v>0.13279723545484381</v>
      </c>
      <c r="J32" s="114">
        <f t="shared" si="6"/>
        <v>2.8964512418089918</v>
      </c>
      <c r="K32" s="116">
        <f>'[6]Mensais 07-12 MOD''s'!G$57</f>
        <v>85789.047513720405</v>
      </c>
      <c r="L32" s="117">
        <f t="shared" si="10"/>
        <v>9.064544618354281E-2</v>
      </c>
      <c r="M32" s="116">
        <f t="shared" si="0"/>
        <v>1.9770751572003158</v>
      </c>
      <c r="N32" s="118">
        <f>'[6]Mensais 07-12 MOD''s'!G$63</f>
        <v>7021.8405730390004</v>
      </c>
      <c r="O32" s="119">
        <f t="shared" si="11"/>
        <v>7.4193372023512423E-3</v>
      </c>
      <c r="P32" s="118">
        <f t="shared" si="1"/>
        <v>0.16182376372177754</v>
      </c>
      <c r="Q32" s="113">
        <f t="shared" si="16"/>
        <v>218493.410726211</v>
      </c>
      <c r="R32" s="113">
        <f t="shared" si="7"/>
        <v>0.23086201884073784</v>
      </c>
      <c r="S32" s="120">
        <f t="shared" si="2"/>
        <v>5.0353501627310848</v>
      </c>
      <c r="T32" s="121"/>
      <c r="U32" s="105"/>
      <c r="AT32" s="110"/>
      <c r="AU32" s="111" t="s">
        <v>31</v>
      </c>
      <c r="AV32" s="123">
        <f t="shared" si="3"/>
        <v>5.0353501627310848</v>
      </c>
      <c r="AW32" s="120">
        <f t="shared" si="4"/>
        <v>946424.24</v>
      </c>
      <c r="AX32" s="2"/>
      <c r="AY32" s="2"/>
      <c r="BK32" s="122">
        <f>MIN(BK24:BK29,BK39:BK44,BK56:BK61,BK72:BK77)</f>
        <v>782088.6333333333</v>
      </c>
    </row>
    <row r="33" spans="2:67" x14ac:dyDescent="0.25">
      <c r="B33" s="110"/>
      <c r="C33" s="111" t="s">
        <v>33</v>
      </c>
      <c r="D33" s="112">
        <f>[34]Folha1!$I$49</f>
        <v>70.986711111999</v>
      </c>
      <c r="E33" s="113">
        <f>[34]Folha1!$Y$53</f>
        <v>891725.49999999977</v>
      </c>
      <c r="F33" s="113">
        <f t="shared" si="15"/>
        <v>43391.900000000009</v>
      </c>
      <c r="G33" s="112">
        <f t="shared" si="5"/>
        <v>1.6359438308071088E-3</v>
      </c>
      <c r="H33" s="114">
        <f>'[6]Mensais 07-12 MOD''s'!H$51</f>
        <v>130760.56474299387</v>
      </c>
      <c r="I33" s="115">
        <f t="shared" si="9"/>
        <v>0.14663768698214183</v>
      </c>
      <c r="J33" s="114">
        <f t="shared" si="6"/>
        <v>3.0134786617547018</v>
      </c>
      <c r="K33" s="116">
        <f>'[6]Mensais 07-12 MOD''s'!H$57</f>
        <v>78924.601152306815</v>
      </c>
      <c r="L33" s="117">
        <f t="shared" si="10"/>
        <v>8.8507731529833836E-2</v>
      </c>
      <c r="M33" s="116">
        <f t="shared" si="0"/>
        <v>1.8188786651957347</v>
      </c>
      <c r="N33" s="118">
        <f>'[6]Mensais 07-12 MOD''s'!H$63</f>
        <v>0</v>
      </c>
      <c r="O33" s="119">
        <f t="shared" si="11"/>
        <v>0</v>
      </c>
      <c r="P33" s="118">
        <f t="shared" si="1"/>
        <v>0</v>
      </c>
      <c r="Q33" s="113">
        <f t="shared" si="16"/>
        <v>209685.16589530068</v>
      </c>
      <c r="R33" s="113">
        <f t="shared" si="7"/>
        <v>0.23514541851197565</v>
      </c>
      <c r="S33" s="120">
        <f t="shared" si="2"/>
        <v>4.8323573269504365</v>
      </c>
      <c r="T33" s="121"/>
      <c r="U33" s="105"/>
      <c r="AT33" s="110"/>
      <c r="AU33" s="111" t="s">
        <v>33</v>
      </c>
      <c r="AV33" s="123">
        <f t="shared" si="3"/>
        <v>4.8323573269504365</v>
      </c>
      <c r="AW33" s="120">
        <f t="shared" si="4"/>
        <v>891725.49999999977</v>
      </c>
      <c r="AX33" s="2"/>
      <c r="AY33" s="2"/>
    </row>
    <row r="34" spans="2:67" x14ac:dyDescent="0.25">
      <c r="B34" s="110"/>
      <c r="C34" s="111" t="s">
        <v>35</v>
      </c>
      <c r="D34" s="112">
        <f>[35]Folha1!$I$49</f>
        <v>70.418443481081724</v>
      </c>
      <c r="E34" s="113">
        <f>[35]Folha1!$Y$53</f>
        <v>857806.36</v>
      </c>
      <c r="F34" s="113">
        <f t="shared" si="15"/>
        <v>43391.900000000009</v>
      </c>
      <c r="G34" s="112">
        <f t="shared" si="5"/>
        <v>1.622847662376658E-3</v>
      </c>
      <c r="H34" s="114">
        <f>'[6]Mensais 07-12 MOD''s'!I$51</f>
        <v>131385.84123325071</v>
      </c>
      <c r="I34" s="115">
        <f t="shared" si="9"/>
        <v>0.15316491851756697</v>
      </c>
      <c r="J34" s="114">
        <f t="shared" si="6"/>
        <v>3.0278886435775036</v>
      </c>
      <c r="K34" s="116">
        <f>'[6]Mensais 07-12 MOD''s'!I$57</f>
        <v>116195.12179374056</v>
      </c>
      <c r="L34" s="117">
        <f t="shared" si="10"/>
        <v>0.13545612064911777</v>
      </c>
      <c r="M34" s="116">
        <f t="shared" si="0"/>
        <v>2.6778067287613712</v>
      </c>
      <c r="N34" s="118">
        <f>'[6]Mensais 07-12 MOD''s'!I$63</f>
        <v>0</v>
      </c>
      <c r="O34" s="119">
        <f t="shared" si="11"/>
        <v>0</v>
      </c>
      <c r="P34" s="118">
        <f t="shared" si="1"/>
        <v>0</v>
      </c>
      <c r="Q34" s="113">
        <f t="shared" si="16"/>
        <v>247580.96302699129</v>
      </c>
      <c r="R34" s="113">
        <f t="shared" si="7"/>
        <v>0.28862103916668475</v>
      </c>
      <c r="S34" s="120">
        <f t="shared" si="2"/>
        <v>5.7056953723388748</v>
      </c>
      <c r="T34" s="121"/>
      <c r="U34" s="105"/>
      <c r="AT34" s="110"/>
      <c r="AU34" s="111" t="s">
        <v>35</v>
      </c>
      <c r="AV34" s="123">
        <f t="shared" si="3"/>
        <v>5.7056953723388748</v>
      </c>
      <c r="AW34" s="120">
        <f t="shared" si="4"/>
        <v>857806.36</v>
      </c>
      <c r="AX34" s="2"/>
      <c r="AY34" s="2"/>
    </row>
    <row r="35" spans="2:67" x14ac:dyDescent="0.25">
      <c r="B35" s="110"/>
      <c r="C35" s="111" t="s">
        <v>37</v>
      </c>
      <c r="D35" s="112">
        <f>[36]Folha1!$I$49</f>
        <v>69.742936264898759</v>
      </c>
      <c r="E35" s="113">
        <f>[36]Folha1!$Y$53</f>
        <v>935592.99999999977</v>
      </c>
      <c r="F35" s="113">
        <f t="shared" si="15"/>
        <v>43391.900000000009</v>
      </c>
      <c r="G35" s="112">
        <f t="shared" si="5"/>
        <v>1.6072800745046598E-3</v>
      </c>
      <c r="H35" s="114">
        <f>'[6]Mensais 07-12 MOD''s'!J$51</f>
        <v>139434.38179434335</v>
      </c>
      <c r="I35" s="115">
        <f t="shared" si="9"/>
        <v>0.14903316056698093</v>
      </c>
      <c r="J35" s="114">
        <f t="shared" si="6"/>
        <v>3.2133735050630032</v>
      </c>
      <c r="K35" s="116">
        <f>'[6]Mensais 07-12 MOD''s'!J$57</f>
        <v>142398.80861637159</v>
      </c>
      <c r="L35" s="117">
        <f t="shared" si="10"/>
        <v>0.15220166099615071</v>
      </c>
      <c r="M35" s="116">
        <f t="shared" si="0"/>
        <v>3.2816910210516608</v>
      </c>
      <c r="N35" s="118">
        <f>'[6]Mensais 07-12 MOD''s'!J$63</f>
        <v>0</v>
      </c>
      <c r="O35" s="119">
        <f t="shared" si="11"/>
        <v>0</v>
      </c>
      <c r="P35" s="118">
        <f t="shared" si="1"/>
        <v>0</v>
      </c>
      <c r="Q35" s="113">
        <f t="shared" si="16"/>
        <v>281833.19041071495</v>
      </c>
      <c r="R35" s="113">
        <f t="shared" si="7"/>
        <v>0.30123482156313164</v>
      </c>
      <c r="S35" s="120">
        <f t="shared" si="2"/>
        <v>6.495064526114664</v>
      </c>
      <c r="T35" s="121"/>
      <c r="U35" s="105"/>
      <c r="AT35" s="110"/>
      <c r="AU35" s="111" t="s">
        <v>37</v>
      </c>
      <c r="AV35" s="123">
        <f t="shared" si="3"/>
        <v>6.495064526114664</v>
      </c>
      <c r="AW35" s="120">
        <f t="shared" si="4"/>
        <v>935592.99999999977</v>
      </c>
      <c r="AX35" s="2"/>
      <c r="AY35" s="2"/>
    </row>
    <row r="36" spans="2:67" x14ac:dyDescent="0.25">
      <c r="B36" s="110"/>
      <c r="C36" s="111" t="s">
        <v>39</v>
      </c>
      <c r="D36" s="112">
        <f>[37]Folha1!$I$49</f>
        <v>66.305434183902079</v>
      </c>
      <c r="E36" s="113">
        <f>[37]Folha1!$Y$53</f>
        <v>897020.89999999979</v>
      </c>
      <c r="F36" s="113">
        <f t="shared" si="15"/>
        <v>43391.900000000009</v>
      </c>
      <c r="G36" s="112">
        <f t="shared" si="5"/>
        <v>1.5280601721496885E-3</v>
      </c>
      <c r="H36" s="114">
        <f>'[6]Mensais 07-12 MOD''s'!K$51</f>
        <v>141364.9790096065</v>
      </c>
      <c r="I36" s="115">
        <f t="shared" si="9"/>
        <v>0.15759385206031046</v>
      </c>
      <c r="J36" s="114">
        <f t="shared" si="6"/>
        <v>3.2578656156934005</v>
      </c>
      <c r="K36" s="116">
        <f>'[6]Mensais 07-12 MOD''s'!K$57</f>
        <v>132895.85290239714</v>
      </c>
      <c r="L36" s="117">
        <f t="shared" si="10"/>
        <v>0.14815245988404191</v>
      </c>
      <c r="M36" s="116">
        <f t="shared" si="0"/>
        <v>3.0626880339970617</v>
      </c>
      <c r="N36" s="118">
        <f>'[6]Mensais 07-12 MOD''s'!K$63</f>
        <v>0</v>
      </c>
      <c r="O36" s="119">
        <f t="shared" si="11"/>
        <v>0</v>
      </c>
      <c r="P36" s="118">
        <f t="shared" si="1"/>
        <v>0</v>
      </c>
      <c r="Q36" s="113">
        <f t="shared" si="16"/>
        <v>274260.83191200363</v>
      </c>
      <c r="R36" s="113">
        <f t="shared" si="7"/>
        <v>0.30574631194435237</v>
      </c>
      <c r="S36" s="120">
        <f t="shared" si="2"/>
        <v>6.3205536496904626</v>
      </c>
      <c r="T36" s="121"/>
      <c r="U36" s="105"/>
      <c r="AT36" s="110"/>
      <c r="AU36" s="111" t="s">
        <v>39</v>
      </c>
      <c r="AV36" s="123">
        <f t="shared" si="3"/>
        <v>6.3205536496904626</v>
      </c>
      <c r="AW36" s="120">
        <f t="shared" si="4"/>
        <v>897020.89999999979</v>
      </c>
      <c r="AX36" s="2"/>
      <c r="AY36" s="2"/>
    </row>
    <row r="37" spans="2:67" x14ac:dyDescent="0.25">
      <c r="B37" s="110"/>
      <c r="C37" s="111" t="s">
        <v>41</v>
      </c>
      <c r="D37" s="112">
        <f>[38]Folha1!$I$49</f>
        <v>69.218732489899423</v>
      </c>
      <c r="E37" s="113">
        <f>[38]Folha1!$Y$53</f>
        <v>824443.10000000009</v>
      </c>
      <c r="F37" s="113">
        <f t="shared" si="15"/>
        <v>43391.900000000009</v>
      </c>
      <c r="G37" s="112">
        <f t="shared" si="5"/>
        <v>1.5951993918196577E-3</v>
      </c>
      <c r="H37" s="114">
        <f>'[6]Mensais 07-12 MOD''s'!L$51</f>
        <v>117901.30646513788</v>
      </c>
      <c r="I37" s="115">
        <f t="shared" si="9"/>
        <v>0.14300720870262346</v>
      </c>
      <c r="J37" s="114">
        <f t="shared" si="6"/>
        <v>2.7171270782136263</v>
      </c>
      <c r="K37" s="116">
        <f>'[6]Mensais 07-12 MOD''s'!L$57</f>
        <v>91919.900552149076</v>
      </c>
      <c r="L37" s="117">
        <f t="shared" si="10"/>
        <v>0.11149332264670427</v>
      </c>
      <c r="M37" s="116">
        <f t="shared" si="0"/>
        <v>2.118365421937022</v>
      </c>
      <c r="N37" s="118">
        <f>'[6]Mensais 07-12 MOD''s'!L$63</f>
        <v>0</v>
      </c>
      <c r="O37" s="119">
        <f t="shared" si="11"/>
        <v>0</v>
      </c>
      <c r="P37" s="118">
        <f t="shared" si="1"/>
        <v>0</v>
      </c>
      <c r="Q37" s="113">
        <f t="shared" si="16"/>
        <v>209821.20701728697</v>
      </c>
      <c r="R37" s="113">
        <f t="shared" si="7"/>
        <v>0.25450053134932776</v>
      </c>
      <c r="S37" s="120">
        <f t="shared" si="2"/>
        <v>4.8354925001506484</v>
      </c>
      <c r="T37" s="121"/>
      <c r="U37" s="105"/>
      <c r="AT37" s="110"/>
      <c r="AU37" s="111" t="s">
        <v>41</v>
      </c>
      <c r="AV37" s="123">
        <f t="shared" si="3"/>
        <v>4.8354925001506484</v>
      </c>
      <c r="AW37" s="120">
        <f t="shared" si="4"/>
        <v>824443.10000000009</v>
      </c>
      <c r="AX37" s="2"/>
      <c r="AY37" s="2"/>
    </row>
    <row r="38" spans="2:67" x14ac:dyDescent="0.25">
      <c r="B38" s="110"/>
      <c r="C38" s="111" t="s">
        <v>43</v>
      </c>
      <c r="D38" s="112">
        <f>[39]Folha1!$I$49</f>
        <v>70.049439724347607</v>
      </c>
      <c r="E38" s="113">
        <f>[39]Folha1!$Y$53</f>
        <v>915339.89999999979</v>
      </c>
      <c r="F38" s="113">
        <f t="shared" si="15"/>
        <v>43391.900000000009</v>
      </c>
      <c r="G38" s="112">
        <f t="shared" si="5"/>
        <v>1.6143436845205579E-3</v>
      </c>
      <c r="H38" s="114">
        <f>'[6]Mensais 07-12 MOD''s'!M$51</f>
        <v>133633.97852607348</v>
      </c>
      <c r="I38" s="115">
        <f t="shared" si="9"/>
        <v>0.14599383084477527</v>
      </c>
      <c r="J38" s="114">
        <f t="shared" si="6"/>
        <v>3.0796987116506411</v>
      </c>
      <c r="K38" s="116">
        <f>'[6]Mensais 07-12 MOD''s'!M$57</f>
        <v>100807.17516798031</v>
      </c>
      <c r="L38" s="117">
        <f t="shared" si="10"/>
        <v>0.11013086523157171</v>
      </c>
      <c r="M38" s="116">
        <f t="shared" si="0"/>
        <v>2.3231795604244176</v>
      </c>
      <c r="N38" s="118">
        <f>'[6]Mensais 07-12 MOD''s'!M$63</f>
        <v>0</v>
      </c>
      <c r="O38" s="119">
        <f t="shared" si="11"/>
        <v>0</v>
      </c>
      <c r="P38" s="118">
        <f t="shared" si="1"/>
        <v>0</v>
      </c>
      <c r="Q38" s="113">
        <f t="shared" si="16"/>
        <v>234441.15369405379</v>
      </c>
      <c r="R38" s="113">
        <f t="shared" si="7"/>
        <v>0.25612469607634697</v>
      </c>
      <c r="S38" s="120">
        <f t="shared" si="2"/>
        <v>5.4028782720750588</v>
      </c>
      <c r="T38" s="121"/>
      <c r="U38" s="105"/>
      <c r="AT38" s="110"/>
      <c r="AU38" s="111" t="s">
        <v>43</v>
      </c>
      <c r="AV38" s="123">
        <f t="shared" si="3"/>
        <v>5.4028782720750588</v>
      </c>
      <c r="AW38" s="120">
        <f t="shared" si="4"/>
        <v>915339.89999999979</v>
      </c>
      <c r="AX38" s="2"/>
      <c r="AY38" s="2"/>
      <c r="BJ38" s="90" t="s">
        <v>3</v>
      </c>
      <c r="BK38" s="90" t="s">
        <v>22</v>
      </c>
      <c r="BL38" s="90" t="s">
        <v>10</v>
      </c>
    </row>
    <row r="39" spans="2:67" x14ac:dyDescent="0.25">
      <c r="B39" s="110"/>
      <c r="C39" s="111" t="s">
        <v>45</v>
      </c>
      <c r="D39" s="112">
        <f>[40]Folha1!$I$49</f>
        <v>70.312778318440536</v>
      </c>
      <c r="E39" s="113">
        <f>[40]Folha1!$Y$53</f>
        <v>876725.2</v>
      </c>
      <c r="F39" s="113">
        <f t="shared" si="15"/>
        <v>43391.900000000009</v>
      </c>
      <c r="G39" s="112">
        <f t="shared" si="5"/>
        <v>1.6204125267259679E-3</v>
      </c>
      <c r="H39" s="114">
        <f>'[6]Mensais 07-12 MOD''s'!N$51</f>
        <v>128275.30878648552</v>
      </c>
      <c r="I39" s="115">
        <f t="shared" si="9"/>
        <v>0.14631187604335488</v>
      </c>
      <c r="J39" s="114">
        <f t="shared" si="6"/>
        <v>2.9562040101144569</v>
      </c>
      <c r="K39" s="116">
        <f>'[6]Mensais 07-12 MOD''s'!N$57</f>
        <v>79895.463180285398</v>
      </c>
      <c r="L39" s="117">
        <f t="shared" si="10"/>
        <v>9.1129424796145247E-2</v>
      </c>
      <c r="M39" s="116">
        <f t="shared" si="0"/>
        <v>1.8412529338490682</v>
      </c>
      <c r="N39" s="118">
        <f>'[6]Mensais 07-12 MOD''s'!N$63</f>
        <v>35679.16117078274</v>
      </c>
      <c r="O39" s="119">
        <f t="shared" si="11"/>
        <v>4.0695945743070623E-2</v>
      </c>
      <c r="P39" s="118">
        <f t="shared" si="1"/>
        <v>0.82225394994878609</v>
      </c>
      <c r="Q39" s="113">
        <f t="shared" si="16"/>
        <v>243849.93313755369</v>
      </c>
      <c r="R39" s="113">
        <f t="shared" si="7"/>
        <v>0.27813724658257077</v>
      </c>
      <c r="S39" s="120">
        <f t="shared" si="2"/>
        <v>5.6197108939123117</v>
      </c>
      <c r="T39" s="121"/>
      <c r="U39" s="105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T39" s="110"/>
      <c r="AU39" s="111" t="s">
        <v>45</v>
      </c>
      <c r="AV39" s="123">
        <f t="shared" si="3"/>
        <v>5.6197108939123117</v>
      </c>
      <c r="AW39" s="120">
        <f t="shared" si="4"/>
        <v>876725.2</v>
      </c>
      <c r="AX39" s="2"/>
      <c r="AY39" s="2"/>
      <c r="BJ39" s="90">
        <v>2007</v>
      </c>
      <c r="BK39" s="141">
        <f>AVERAGE(AW8:AW10)</f>
        <v>782088.6333333333</v>
      </c>
      <c r="BL39" s="141">
        <f>AVERAGE(AV8:AV10)</f>
        <v>3.8196660890917173</v>
      </c>
    </row>
    <row r="40" spans="2:67" ht="15.75" thickBot="1" x14ac:dyDescent="0.3">
      <c r="B40" s="124"/>
      <c r="C40" s="125" t="s">
        <v>47</v>
      </c>
      <c r="D40" s="126">
        <f>[41]Folha1!$I$49</f>
        <v>69.412383618774726</v>
      </c>
      <c r="E40" s="127">
        <f>[41]Folha1!$Y$53</f>
        <v>897049.49999999977</v>
      </c>
      <c r="F40" s="127">
        <f t="shared" si="15"/>
        <v>43391.900000000009</v>
      </c>
      <c r="G40" s="126">
        <f t="shared" si="5"/>
        <v>1.5996622323238834E-3</v>
      </c>
      <c r="H40" s="128">
        <f>'[6]Mensais 07-12 MOD''s'!O$51</f>
        <v>141105.35433587138</v>
      </c>
      <c r="I40" s="129">
        <f t="shared" si="9"/>
        <v>0.15729940692890573</v>
      </c>
      <c r="J40" s="128">
        <f t="shared" si="6"/>
        <v>3.2518823636639866</v>
      </c>
      <c r="K40" s="130">
        <f>'[6]Mensais 07-12 MOD''s'!O$57</f>
        <v>90027.883668210663</v>
      </c>
      <c r="L40" s="131">
        <f t="shared" si="10"/>
        <v>0.10035999537172774</v>
      </c>
      <c r="M40" s="130">
        <f t="shared" si="0"/>
        <v>2.0747624249735699</v>
      </c>
      <c r="N40" s="132">
        <f>'[6]Mensais 07-12 MOD''s'!O$63</f>
        <v>148805.59677716807</v>
      </c>
      <c r="O40" s="133">
        <f t="shared" si="11"/>
        <v>0.16588337296567035</v>
      </c>
      <c r="P40" s="132">
        <f t="shared" si="1"/>
        <v>3.429340424760567</v>
      </c>
      <c r="Q40" s="113">
        <f>SUM(H40,K40,N40)</f>
        <v>379938.8347812501</v>
      </c>
      <c r="R40" s="127">
        <f t="shared" si="7"/>
        <v>0.42354277526630379</v>
      </c>
      <c r="S40" s="134">
        <f t="shared" si="2"/>
        <v>8.7559852133981231</v>
      </c>
      <c r="T40" s="121"/>
      <c r="U40" s="105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T40" s="124"/>
      <c r="AU40" s="125" t="s">
        <v>47</v>
      </c>
      <c r="AV40" s="135">
        <f t="shared" si="3"/>
        <v>8.7559852133981231</v>
      </c>
      <c r="AW40" s="134">
        <f t="shared" si="4"/>
        <v>897049.49999999977</v>
      </c>
      <c r="AX40" s="2"/>
      <c r="AY40" s="2"/>
      <c r="BJ40" s="90">
        <v>2008</v>
      </c>
      <c r="BK40" s="142">
        <f>AVERAGE(AW20:AW22)</f>
        <v>884818.23333333328</v>
      </c>
      <c r="BL40" s="142">
        <f>AVERAGE(AV20:AV22)</f>
        <v>4.7274050997032306</v>
      </c>
    </row>
    <row r="41" spans="2:67" x14ac:dyDescent="0.25">
      <c r="B41" s="91">
        <v>2010</v>
      </c>
      <c r="C41" s="136" t="s">
        <v>24</v>
      </c>
      <c r="D41" s="96">
        <f>[42]Folha1!$I$49</f>
        <v>69.179159781540534</v>
      </c>
      <c r="E41" s="137">
        <f>[42]Folha1!$Y$53</f>
        <v>878444.89999999967</v>
      </c>
      <c r="F41" s="137">
        <f t="shared" si="15"/>
        <v>43391.900000000009</v>
      </c>
      <c r="G41" s="96">
        <f t="shared" si="5"/>
        <v>1.5942874080540498E-3</v>
      </c>
      <c r="H41" s="97">
        <f>'[6]Mensais 07-12 MOD''s'!D$52</f>
        <v>146213.00855721527</v>
      </c>
      <c r="I41" s="138">
        <f t="shared" si="9"/>
        <v>0.16644528137987405</v>
      </c>
      <c r="J41" s="97">
        <f t="shared" si="6"/>
        <v>3.3695922178382429</v>
      </c>
      <c r="K41" s="99">
        <f>'[6]Mensais 07-12 MOD''s'!D$58</f>
        <v>87537.348146829783</v>
      </c>
      <c r="L41" s="139">
        <f t="shared" si="10"/>
        <v>9.9650357292563052E-2</v>
      </c>
      <c r="M41" s="99">
        <f t="shared" si="0"/>
        <v>2.0173661016648214</v>
      </c>
      <c r="N41" s="101">
        <f>'[6]Mensais 07-12 MOD''s'!D$64</f>
        <v>177403.63066994239</v>
      </c>
      <c r="O41" s="140">
        <f t="shared" si="11"/>
        <v>0.20195191601652243</v>
      </c>
      <c r="P41" s="101">
        <f t="shared" si="1"/>
        <v>4.0884043028754755</v>
      </c>
      <c r="Q41" s="137">
        <f>SUM(H41,K41,N41)</f>
        <v>411153.98737398745</v>
      </c>
      <c r="R41" s="137">
        <f t="shared" si="7"/>
        <v>0.46804755468895953</v>
      </c>
      <c r="S41" s="109">
        <f t="shared" si="2"/>
        <v>9.4753626223785403</v>
      </c>
      <c r="T41" s="121"/>
      <c r="U41" s="105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T41" s="91">
        <v>2010</v>
      </c>
      <c r="AU41" s="136" t="s">
        <v>24</v>
      </c>
      <c r="AV41" s="108">
        <f t="shared" si="3"/>
        <v>9.4753626223785403</v>
      </c>
      <c r="AW41" s="109">
        <f t="shared" si="4"/>
        <v>878444.89999999967</v>
      </c>
      <c r="AX41" s="2"/>
      <c r="AY41" s="2"/>
      <c r="BJ41" s="90">
        <v>2009</v>
      </c>
      <c r="BK41" s="142">
        <f>AVERAGE(AW32:AW34)</f>
        <v>898652.03333333321</v>
      </c>
      <c r="BL41" s="142">
        <f>AVERAGE(AV32:AV34)</f>
        <v>5.191134287340132</v>
      </c>
    </row>
    <row r="42" spans="2:67" x14ac:dyDescent="0.25">
      <c r="B42" s="110"/>
      <c r="C42" s="111" t="s">
        <v>27</v>
      </c>
      <c r="D42" s="112">
        <f>[43]Folha1!$I$49</f>
        <v>70.601820839810756</v>
      </c>
      <c r="E42" s="113">
        <f>[43]Folha1!$Y$53</f>
        <v>778332.09999999986</v>
      </c>
      <c r="F42" s="113">
        <f t="shared" si="15"/>
        <v>43391.900000000009</v>
      </c>
      <c r="G42" s="112">
        <f t="shared" si="5"/>
        <v>1.62707373587722E-3</v>
      </c>
      <c r="H42" s="114">
        <f>'[6]Mensais 07-12 MOD''s'!E$52</f>
        <v>130767.8468795591</v>
      </c>
      <c r="I42" s="115">
        <f t="shared" si="9"/>
        <v>0.16801034787022034</v>
      </c>
      <c r="J42" s="114">
        <f t="shared" si="6"/>
        <v>3.0136464842415078</v>
      </c>
      <c r="K42" s="116">
        <f>'[6]Mensais 07-12 MOD''s'!E$58</f>
        <v>73717.073515535521</v>
      </c>
      <c r="L42" s="117">
        <f t="shared" si="10"/>
        <v>9.4711593567238891E-2</v>
      </c>
      <c r="M42" s="116">
        <f t="shared" si="0"/>
        <v>1.6988671506787099</v>
      </c>
      <c r="N42" s="118">
        <f>'[6]Mensais 07-12 MOD''s'!E$64</f>
        <v>173883.40008417214</v>
      </c>
      <c r="O42" s="119">
        <f t="shared" si="11"/>
        <v>0.22340515068589895</v>
      </c>
      <c r="P42" s="118">
        <f t="shared" si="1"/>
        <v>4.0072778579451951</v>
      </c>
      <c r="Q42" s="113">
        <f>SUM(H42,K42,N42)</f>
        <v>378368.32047926675</v>
      </c>
      <c r="R42" s="113">
        <f t="shared" si="7"/>
        <v>0.48612709212335814</v>
      </c>
      <c r="S42" s="120">
        <f t="shared" si="2"/>
        <v>8.7197914928654114</v>
      </c>
      <c r="T42" s="121"/>
      <c r="U42" s="105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T42" s="110"/>
      <c r="AU42" s="111" t="s">
        <v>27</v>
      </c>
      <c r="AV42" s="123">
        <f t="shared" si="3"/>
        <v>8.7197914928654114</v>
      </c>
      <c r="AW42" s="120">
        <f t="shared" si="4"/>
        <v>778332.09999999986</v>
      </c>
      <c r="AX42" s="2"/>
      <c r="AY42" s="2"/>
      <c r="BJ42" s="90">
        <v>2010</v>
      </c>
      <c r="BK42" s="142">
        <f>AVERAGE(AW44:AW46)</f>
        <v>877893.23333333328</v>
      </c>
      <c r="BL42" s="142">
        <f>AVERAGE(AV44:AV46)</f>
        <v>5.5171111927716687</v>
      </c>
    </row>
    <row r="43" spans="2:67" ht="15" customHeight="1" x14ac:dyDescent="0.25">
      <c r="B43" s="110"/>
      <c r="C43" s="111" t="s">
        <v>29</v>
      </c>
      <c r="D43" s="112">
        <f>[44]Folha1!$I$49</f>
        <v>70.28369097936698</v>
      </c>
      <c r="E43" s="113">
        <f>[44]Folha1!$Y$53</f>
        <v>913985.34999999986</v>
      </c>
      <c r="F43" s="113">
        <f t="shared" si="15"/>
        <v>43391.900000000009</v>
      </c>
      <c r="G43" s="112">
        <f t="shared" si="5"/>
        <v>1.6197421864303468E-3</v>
      </c>
      <c r="H43" s="114">
        <f>'[6]Mensais 07-12 MOD''s'!F$52</f>
        <v>144555.9320208868</v>
      </c>
      <c r="I43" s="115">
        <f t="shared" si="9"/>
        <v>0.15816000991797824</v>
      </c>
      <c r="J43" s="114">
        <f t="shared" si="6"/>
        <v>3.3314036034579444</v>
      </c>
      <c r="K43" s="116">
        <f>'[6]Mensais 07-12 MOD''s'!F$58</f>
        <v>101631.62716054257</v>
      </c>
      <c r="L43" s="117">
        <f t="shared" si="10"/>
        <v>0.11119612273932244</v>
      </c>
      <c r="M43" s="116">
        <f t="shared" si="0"/>
        <v>2.3421796962230865</v>
      </c>
      <c r="N43" s="118">
        <f>'[6]Mensais 07-12 MOD''s'!F$64</f>
        <v>158428.39409871685</v>
      </c>
      <c r="O43" s="119">
        <f t="shared" si="11"/>
        <v>0.17333800164162028</v>
      </c>
      <c r="P43" s="118">
        <f t="shared" si="1"/>
        <v>3.6511052546377738</v>
      </c>
      <c r="Q43" s="113">
        <f t="shared" ref="Q43:Q52" si="17">SUM(H43,K43,N43)</f>
        <v>404615.95328014623</v>
      </c>
      <c r="R43" s="113">
        <f t="shared" si="7"/>
        <v>0.44269413429892096</v>
      </c>
      <c r="S43" s="120">
        <f t="shared" si="2"/>
        <v>9.3246885543188043</v>
      </c>
      <c r="T43" s="121"/>
      <c r="U43" s="105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T43" s="110"/>
      <c r="AU43" s="111" t="s">
        <v>29</v>
      </c>
      <c r="AV43" s="123">
        <f t="shared" si="3"/>
        <v>9.3246885543188043</v>
      </c>
      <c r="AW43" s="120">
        <f t="shared" si="4"/>
        <v>913985.34999999986</v>
      </c>
      <c r="AX43" s="2"/>
      <c r="AY43" s="2"/>
      <c r="BJ43" s="90">
        <v>2011</v>
      </c>
      <c r="BK43" s="142">
        <f>AVERAGE(AW56:AW58)</f>
        <v>864964.36666666658</v>
      </c>
      <c r="BL43" s="142">
        <f>AVERAGE(AV56:AV58)</f>
        <v>5.1921139624724804</v>
      </c>
    </row>
    <row r="44" spans="2:67" x14ac:dyDescent="0.25">
      <c r="B44" s="110"/>
      <c r="C44" s="111" t="s">
        <v>31</v>
      </c>
      <c r="D44" s="112">
        <f>[45]Folha1!$I$49</f>
        <v>70.503022796307775</v>
      </c>
      <c r="E44" s="113">
        <f>[45]Folha1!$Y$53</f>
        <v>878723.70000000007</v>
      </c>
      <c r="F44" s="113">
        <f t="shared" si="15"/>
        <v>43391.900000000009</v>
      </c>
      <c r="G44" s="112">
        <f t="shared" si="5"/>
        <v>1.6247968583147491E-3</v>
      </c>
      <c r="H44" s="114">
        <f>'[6]Mensais 07-12 MOD''s'!G$52</f>
        <v>132991.55104399141</v>
      </c>
      <c r="I44" s="115">
        <f t="shared" si="9"/>
        <v>0.1513462662313437</v>
      </c>
      <c r="J44" s="114">
        <f t="shared" si="6"/>
        <v>3.0648934719150667</v>
      </c>
      <c r="K44" s="116">
        <f>'[6]Mensais 07-12 MOD''s'!G$58</f>
        <v>96368.344433453458</v>
      </c>
      <c r="L44" s="117">
        <f t="shared" si="10"/>
        <v>0.10966853907940965</v>
      </c>
      <c r="M44" s="116">
        <f t="shared" si="0"/>
        <v>2.2208832623935213</v>
      </c>
      <c r="N44" s="118">
        <f>'[6]Mensais 07-12 MOD''s'!G$64</f>
        <v>16905.769992250735</v>
      </c>
      <c r="O44" s="119">
        <f t="shared" si="11"/>
        <v>1.9239005380474811E-2</v>
      </c>
      <c r="P44" s="118">
        <f t="shared" si="1"/>
        <v>0.38960658538231169</v>
      </c>
      <c r="Q44" s="113">
        <f t="shared" si="17"/>
        <v>246265.66546969561</v>
      </c>
      <c r="R44" s="113">
        <f t="shared" si="7"/>
        <v>0.28025381069122818</v>
      </c>
      <c r="S44" s="120">
        <f t="shared" si="2"/>
        <v>5.6753833196908996</v>
      </c>
      <c r="T44" s="121"/>
      <c r="U44" s="105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T44" s="110"/>
      <c r="AU44" s="111" t="s">
        <v>31</v>
      </c>
      <c r="AV44" s="123">
        <f t="shared" si="3"/>
        <v>5.6753833196908996</v>
      </c>
      <c r="AW44" s="120">
        <f t="shared" si="4"/>
        <v>878723.70000000007</v>
      </c>
      <c r="AX44" s="2"/>
      <c r="AY44" s="2"/>
      <c r="BJ44" s="90">
        <v>2012</v>
      </c>
      <c r="BK44" s="142">
        <f>AVERAGE(AW68:AW70)</f>
        <v>870386.6333333333</v>
      </c>
      <c r="BL44" s="142">
        <f>AVERAGE(AV68:AV70)</f>
        <v>6.0019703881725341</v>
      </c>
    </row>
    <row r="45" spans="2:67" x14ac:dyDescent="0.25">
      <c r="B45" s="110"/>
      <c r="C45" s="111" t="s">
        <v>33</v>
      </c>
      <c r="D45" s="112">
        <f>[46]Folha1!$I$49</f>
        <v>70.92693061790618</v>
      </c>
      <c r="E45" s="113">
        <f>[46]Folha1!$Y$53</f>
        <v>872897.89999999979</v>
      </c>
      <c r="F45" s="113">
        <f t="shared" si="15"/>
        <v>43391.900000000009</v>
      </c>
      <c r="G45" s="112">
        <f t="shared" si="5"/>
        <v>1.6345661429415666E-3</v>
      </c>
      <c r="H45" s="114">
        <f>'[6]Mensais 07-12 MOD''s'!H$52</f>
        <v>131967.52580517324</v>
      </c>
      <c r="I45" s="115">
        <f t="shared" si="9"/>
        <v>0.15118323208839576</v>
      </c>
      <c r="J45" s="114">
        <f t="shared" si="6"/>
        <v>3.0412940158226123</v>
      </c>
      <c r="K45" s="116">
        <f>'[6]Mensais 07-12 MOD''s'!H$58</f>
        <v>99561.751812483199</v>
      </c>
      <c r="L45" s="117">
        <f t="shared" si="10"/>
        <v>0.11405887425377381</v>
      </c>
      <c r="M45" s="116">
        <f t="shared" si="0"/>
        <v>2.2944778129670094</v>
      </c>
      <c r="N45" s="118">
        <f>'[6]Mensais 07-12 MOD''s'!H$64</f>
        <v>0</v>
      </c>
      <c r="O45" s="119">
        <f t="shared" si="11"/>
        <v>0</v>
      </c>
      <c r="P45" s="118">
        <f t="shared" si="1"/>
        <v>0</v>
      </c>
      <c r="Q45" s="113">
        <f t="shared" si="17"/>
        <v>231529.27761765645</v>
      </c>
      <c r="R45" s="113">
        <f t="shared" si="7"/>
        <v>0.2652421063421696</v>
      </c>
      <c r="S45" s="120">
        <f t="shared" si="2"/>
        <v>5.3357718287896221</v>
      </c>
      <c r="T45" s="121"/>
      <c r="U45" s="105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T45" s="110"/>
      <c r="AU45" s="111" t="s">
        <v>33</v>
      </c>
      <c r="AV45" s="123">
        <f t="shared" si="3"/>
        <v>5.3357718287896221</v>
      </c>
      <c r="AW45" s="120">
        <f t="shared" si="4"/>
        <v>872897.89999999979</v>
      </c>
      <c r="AX45" s="2"/>
      <c r="AY45" s="2"/>
    </row>
    <row r="46" spans="2:67" ht="15" customHeight="1" x14ac:dyDescent="0.25">
      <c r="B46" s="110"/>
      <c r="C46" s="111" t="s">
        <v>35</v>
      </c>
      <c r="D46" s="112">
        <f>[47]Folha1!$I$49</f>
        <v>70.207221288350198</v>
      </c>
      <c r="E46" s="113">
        <f>[47]Folha1!$Y$53</f>
        <v>882058.1</v>
      </c>
      <c r="F46" s="113">
        <f t="shared" si="15"/>
        <v>43391.900000000009</v>
      </c>
      <c r="G46" s="112">
        <f t="shared" si="5"/>
        <v>1.6179798830738036E-3</v>
      </c>
      <c r="H46" s="114">
        <f>'[6]Mensais 07-12 MOD''s'!I$52</f>
        <v>123843.23081077928</v>
      </c>
      <c r="I46" s="115">
        <f t="shared" si="9"/>
        <v>0.14040257757485508</v>
      </c>
      <c r="J46" s="114">
        <f t="shared" si="6"/>
        <v>2.854063334649537</v>
      </c>
      <c r="K46" s="116">
        <f>'[6]Mensais 07-12 MOD''s'!I$58</f>
        <v>116555.6375987557</v>
      </c>
      <c r="L46" s="117">
        <f t="shared" si="10"/>
        <v>0.13214054448199694</v>
      </c>
      <c r="M46" s="116">
        <f t="shared" si="0"/>
        <v>2.6861150951849462</v>
      </c>
      <c r="N46" s="118">
        <f>'[6]Mensais 07-12 MOD''s'!I$64</f>
        <v>0</v>
      </c>
      <c r="O46" s="119">
        <f t="shared" si="11"/>
        <v>0</v>
      </c>
      <c r="P46" s="118">
        <f t="shared" si="1"/>
        <v>0</v>
      </c>
      <c r="Q46" s="113">
        <f t="shared" si="17"/>
        <v>240398.86840953497</v>
      </c>
      <c r="R46" s="113">
        <f t="shared" si="7"/>
        <v>0.27254312205685199</v>
      </c>
      <c r="S46" s="120">
        <f t="shared" si="2"/>
        <v>5.5401784298344836</v>
      </c>
      <c r="T46" s="121"/>
      <c r="U46" s="105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T46" s="110"/>
      <c r="AU46" s="111" t="s">
        <v>35</v>
      </c>
      <c r="AV46" s="123">
        <f t="shared" si="3"/>
        <v>5.5401784298344836</v>
      </c>
      <c r="AW46" s="120">
        <f t="shared" si="4"/>
        <v>882058.1</v>
      </c>
      <c r="AX46" s="2"/>
      <c r="AY46" s="2"/>
      <c r="BJ46" s="143"/>
      <c r="BK46" s="143"/>
      <c r="BL46" s="143"/>
      <c r="BM46" s="143"/>
      <c r="BN46" s="144"/>
      <c r="BO46" s="144"/>
    </row>
    <row r="47" spans="2:67" x14ac:dyDescent="0.25">
      <c r="B47" s="110"/>
      <c r="C47" s="111" t="s">
        <v>37</v>
      </c>
      <c r="D47" s="112">
        <f>[48]Folha1!$I$49</f>
        <v>70.015905949414901</v>
      </c>
      <c r="E47" s="113">
        <f>[48]Folha1!$Y$53</f>
        <v>913007.89999999979</v>
      </c>
      <c r="F47" s="113">
        <f t="shared" si="15"/>
        <v>43391.900000000009</v>
      </c>
      <c r="G47" s="112">
        <f t="shared" si="5"/>
        <v>1.6135708726609087E-3</v>
      </c>
      <c r="H47" s="114">
        <f>'[6]Mensais 07-12 MOD''s'!J$52</f>
        <v>127201.16788484556</v>
      </c>
      <c r="I47" s="115">
        <f t="shared" si="9"/>
        <v>0.13932099370098067</v>
      </c>
      <c r="J47" s="114">
        <f t="shared" si="6"/>
        <v>2.9314495996913141</v>
      </c>
      <c r="K47" s="116">
        <f>'[6]Mensais 07-12 MOD''s'!J$58</f>
        <v>161098.63375615171</v>
      </c>
      <c r="L47" s="117">
        <f t="shared" si="10"/>
        <v>0.17644823638015811</v>
      </c>
      <c r="M47" s="116">
        <f t="shared" si="0"/>
        <v>3.7126429991807615</v>
      </c>
      <c r="N47" s="118">
        <f>'[6]Mensais 07-12 MOD''s'!J$64</f>
        <v>0</v>
      </c>
      <c r="O47" s="119">
        <f t="shared" si="11"/>
        <v>0</v>
      </c>
      <c r="P47" s="118">
        <f t="shared" si="1"/>
        <v>0</v>
      </c>
      <c r="Q47" s="113">
        <f t="shared" si="17"/>
        <v>288299.80164099729</v>
      </c>
      <c r="R47" s="113">
        <f t="shared" si="7"/>
        <v>0.31576923008113877</v>
      </c>
      <c r="S47" s="120">
        <f t="shared" si="2"/>
        <v>6.644092598872076</v>
      </c>
      <c r="T47" s="121"/>
      <c r="U47" s="105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T47" s="110"/>
      <c r="AU47" s="111" t="s">
        <v>37</v>
      </c>
      <c r="AV47" s="123">
        <f t="shared" si="3"/>
        <v>6.644092598872076</v>
      </c>
      <c r="AW47" s="120">
        <f t="shared" si="4"/>
        <v>913007.89999999979</v>
      </c>
      <c r="AX47" s="2"/>
      <c r="AY47" s="2"/>
      <c r="BJ47" s="143"/>
      <c r="BK47" s="143"/>
      <c r="BL47" s="143"/>
      <c r="BM47" s="143"/>
      <c r="BN47" s="144"/>
      <c r="BO47" s="144"/>
    </row>
    <row r="48" spans="2:67" x14ac:dyDescent="0.25">
      <c r="B48" s="110"/>
      <c r="C48" s="111" t="s">
        <v>39</v>
      </c>
      <c r="D48" s="112">
        <f>[49]Folha1!$I$49</f>
        <v>66.283097360202206</v>
      </c>
      <c r="E48" s="113">
        <f>[49]Folha1!$Y$53</f>
        <v>923550.59999999986</v>
      </c>
      <c r="F48" s="113">
        <f t="shared" si="15"/>
        <v>43391.900000000009</v>
      </c>
      <c r="G48" s="112">
        <f t="shared" si="5"/>
        <v>1.5275454027180693E-3</v>
      </c>
      <c r="H48" s="114">
        <f>'[6]Mensais 07-12 MOD''s'!K$52</f>
        <v>134825.0943754341</v>
      </c>
      <c r="I48" s="115">
        <f t="shared" si="9"/>
        <v>0.14598560639279984</v>
      </c>
      <c r="J48" s="114">
        <f t="shared" si="6"/>
        <v>3.1071489004960391</v>
      </c>
      <c r="K48" s="116">
        <f>'[6]Mensais 07-12 MOD''s'!K$58</f>
        <v>168555.70220596343</v>
      </c>
      <c r="L48" s="117">
        <f t="shared" si="10"/>
        <v>0.18250835655995834</v>
      </c>
      <c r="M48" s="116">
        <f t="shared" si="0"/>
        <v>3.8844969269832248</v>
      </c>
      <c r="N48" s="118">
        <f>'[6]Mensais 07-12 MOD''s'!K$64</f>
        <v>0</v>
      </c>
      <c r="O48" s="119">
        <f t="shared" si="11"/>
        <v>0</v>
      </c>
      <c r="P48" s="118">
        <f t="shared" si="1"/>
        <v>0</v>
      </c>
      <c r="Q48" s="113">
        <f t="shared" si="17"/>
        <v>303380.79658139753</v>
      </c>
      <c r="R48" s="113">
        <f t="shared" si="7"/>
        <v>0.32849396295275818</v>
      </c>
      <c r="S48" s="120">
        <f t="shared" si="2"/>
        <v>6.9916458274792639</v>
      </c>
      <c r="T48" s="121"/>
      <c r="U48" s="105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T48" s="110"/>
      <c r="AU48" s="111" t="s">
        <v>39</v>
      </c>
      <c r="AV48" s="123">
        <f t="shared" si="3"/>
        <v>6.9916458274792639</v>
      </c>
      <c r="AW48" s="120">
        <f t="shared" si="4"/>
        <v>923550.59999999986</v>
      </c>
      <c r="AX48" s="2"/>
      <c r="AY48" s="2"/>
      <c r="BJ48" s="143"/>
      <c r="BK48" s="143"/>
      <c r="BL48" s="143"/>
      <c r="BM48" s="143"/>
      <c r="BN48" s="144"/>
      <c r="BO48" s="144"/>
    </row>
    <row r="49" spans="2:67" x14ac:dyDescent="0.25">
      <c r="B49" s="110"/>
      <c r="C49" s="111" t="s">
        <v>41</v>
      </c>
      <c r="D49" s="112">
        <f>[50]Folha1!$I$49</f>
        <v>69.521690406676697</v>
      </c>
      <c r="E49" s="113">
        <f>[50]Folha1!$Y$53</f>
        <v>851812.5</v>
      </c>
      <c r="F49" s="113">
        <f t="shared" si="15"/>
        <v>43391.900000000009</v>
      </c>
      <c r="G49" s="112">
        <f t="shared" si="5"/>
        <v>1.6021812920539705E-3</v>
      </c>
      <c r="H49" s="114">
        <f>'[6]Mensais 07-12 MOD''s'!L$52</f>
        <v>128389.23173493684</v>
      </c>
      <c r="I49" s="115">
        <f t="shared" si="9"/>
        <v>0.15072475660422552</v>
      </c>
      <c r="J49" s="114">
        <f t="shared" si="6"/>
        <v>2.958829452845734</v>
      </c>
      <c r="K49" s="116">
        <f>'[6]Mensais 07-12 MOD''s'!L$58</f>
        <v>113138.42343703382</v>
      </c>
      <c r="L49" s="117">
        <f t="shared" si="10"/>
        <v>0.13282080673508997</v>
      </c>
      <c r="M49" s="116">
        <f t="shared" si="0"/>
        <v>2.6073627436695284</v>
      </c>
      <c r="N49" s="118">
        <f>'[6]Mensais 07-12 MOD''s'!L$64</f>
        <v>0</v>
      </c>
      <c r="O49" s="119">
        <f t="shared" si="11"/>
        <v>0</v>
      </c>
      <c r="P49" s="118">
        <f t="shared" si="1"/>
        <v>0</v>
      </c>
      <c r="Q49" s="113">
        <f t="shared" si="17"/>
        <v>241527.65517197066</v>
      </c>
      <c r="R49" s="113">
        <f t="shared" si="7"/>
        <v>0.28354556333931547</v>
      </c>
      <c r="S49" s="120">
        <f t="shared" si="2"/>
        <v>5.5661921965152628</v>
      </c>
      <c r="T49" s="121"/>
      <c r="U49" s="105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T49" s="110"/>
      <c r="AU49" s="111" t="s">
        <v>41</v>
      </c>
      <c r="AV49" s="123">
        <f t="shared" si="3"/>
        <v>5.5661921965152628</v>
      </c>
      <c r="AW49" s="120">
        <f t="shared" si="4"/>
        <v>851812.5</v>
      </c>
      <c r="AX49" s="2"/>
      <c r="AY49" s="2"/>
      <c r="BJ49" s="144"/>
      <c r="BK49" s="144"/>
      <c r="BL49" s="144"/>
      <c r="BM49" s="144"/>
      <c r="BN49" s="144"/>
      <c r="BO49" s="144"/>
    </row>
    <row r="50" spans="2:67" x14ac:dyDescent="0.25">
      <c r="B50" s="110"/>
      <c r="C50" s="111" t="s">
        <v>43</v>
      </c>
      <c r="D50" s="112">
        <f>[51]Folha1!$I$49</f>
        <v>69.848227561623659</v>
      </c>
      <c r="E50" s="113">
        <f>[51]Folha1!$Y$53</f>
        <v>879446.19999999984</v>
      </c>
      <c r="F50" s="113">
        <f t="shared" si="15"/>
        <v>43391.900000000009</v>
      </c>
      <c r="G50" s="112">
        <f t="shared" si="5"/>
        <v>1.6097065941252549E-3</v>
      </c>
      <c r="H50" s="114">
        <f>'[6]Mensais 07-12 MOD''s'!M$52</f>
        <v>136916.0721547498</v>
      </c>
      <c r="I50" s="115">
        <f t="shared" si="9"/>
        <v>0.15568442066694907</v>
      </c>
      <c r="J50" s="114">
        <f t="shared" si="6"/>
        <v>3.1553371056522015</v>
      </c>
      <c r="K50" s="116">
        <f>'[6]Mensais 07-12 MOD''s'!M$58</f>
        <v>72605.788126513988</v>
      </c>
      <c r="L50" s="117">
        <f t="shared" si="10"/>
        <v>8.2558533002375811E-2</v>
      </c>
      <c r="M50" s="116">
        <f t="shared" si="0"/>
        <v>1.6732567167262546</v>
      </c>
      <c r="N50" s="118">
        <f>'[6]Mensais 07-12 MOD''s'!M$64</f>
        <v>0</v>
      </c>
      <c r="O50" s="119">
        <f t="shared" si="11"/>
        <v>0</v>
      </c>
      <c r="P50" s="118">
        <f t="shared" si="1"/>
        <v>0</v>
      </c>
      <c r="Q50" s="113">
        <f t="shared" si="17"/>
        <v>209521.86028126377</v>
      </c>
      <c r="R50" s="113">
        <f t="shared" si="7"/>
        <v>0.23824295366932485</v>
      </c>
      <c r="S50" s="120">
        <f t="shared" si="2"/>
        <v>4.8285938223784557</v>
      </c>
      <c r="T50" s="121"/>
      <c r="U50" s="105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T50" s="110"/>
      <c r="AU50" s="111" t="s">
        <v>43</v>
      </c>
      <c r="AV50" s="123">
        <f t="shared" si="3"/>
        <v>4.8285938223784557</v>
      </c>
      <c r="AW50" s="120">
        <f t="shared" si="4"/>
        <v>879446.19999999984</v>
      </c>
      <c r="AX50" s="2"/>
      <c r="AY50" s="2"/>
      <c r="BJ50" s="144"/>
      <c r="BK50" s="144"/>
      <c r="BL50" s="144"/>
      <c r="BM50" s="144"/>
      <c r="BN50" s="144"/>
      <c r="BO50" s="144"/>
    </row>
    <row r="51" spans="2:67" x14ac:dyDescent="0.25">
      <c r="B51" s="110"/>
      <c r="C51" s="111" t="s">
        <v>45</v>
      </c>
      <c r="D51" s="112">
        <f>[52]Folha1!$I$49</f>
        <v>70.65726896497489</v>
      </c>
      <c r="E51" s="113">
        <f>[52]Folha1!$Y$53</f>
        <v>843165.8</v>
      </c>
      <c r="F51" s="113">
        <f t="shared" si="15"/>
        <v>43391.900000000009</v>
      </c>
      <c r="G51" s="112">
        <f t="shared" si="5"/>
        <v>1.6283515809396426E-3</v>
      </c>
      <c r="H51" s="114">
        <f>'[6]Mensais 07-12 MOD''s'!N$52</f>
        <v>123438.49333769016</v>
      </c>
      <c r="I51" s="115">
        <f t="shared" si="9"/>
        <v>0.14639883797195066</v>
      </c>
      <c r="J51" s="114">
        <f t="shared" si="6"/>
        <v>2.8447358455769427</v>
      </c>
      <c r="K51" s="116">
        <f>'[6]Mensais 07-12 MOD''s'!N$58</f>
        <v>62892.787302829252</v>
      </c>
      <c r="L51" s="117">
        <f t="shared" si="10"/>
        <v>7.4591245639741607E-2</v>
      </c>
      <c r="M51" s="116">
        <f t="shared" si="0"/>
        <v>1.4494130771602358</v>
      </c>
      <c r="N51" s="118">
        <f>'[6]Mensais 07-12 MOD''s'!N$64</f>
        <v>55386.367483866903</v>
      </c>
      <c r="O51" s="119">
        <f t="shared" si="11"/>
        <v>6.5688584005502718E-2</v>
      </c>
      <c r="P51" s="118">
        <f t="shared" si="1"/>
        <v>1.2764218087676937</v>
      </c>
      <c r="Q51" s="113">
        <f t="shared" si="17"/>
        <v>241717.64812438629</v>
      </c>
      <c r="R51" s="113">
        <f t="shared" si="7"/>
        <v>0.28667866761719496</v>
      </c>
      <c r="S51" s="120">
        <f t="shared" si="2"/>
        <v>5.5705707315048718</v>
      </c>
      <c r="T51" s="121"/>
      <c r="U51" s="105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T51" s="110"/>
      <c r="AU51" s="111" t="s">
        <v>45</v>
      </c>
      <c r="AV51" s="123">
        <f t="shared" si="3"/>
        <v>5.5705707315048718</v>
      </c>
      <c r="AW51" s="120">
        <f t="shared" si="4"/>
        <v>843165.8</v>
      </c>
      <c r="AX51" s="2"/>
      <c r="AY51" s="2"/>
      <c r="BJ51" s="144"/>
      <c r="BK51" s="144"/>
      <c r="BL51" s="144"/>
      <c r="BM51" s="144"/>
      <c r="BN51" s="144"/>
      <c r="BO51" s="144"/>
    </row>
    <row r="52" spans="2:67" ht="15.75" thickBot="1" x14ac:dyDescent="0.3">
      <c r="B52" s="124"/>
      <c r="C52" s="125" t="s">
        <v>47</v>
      </c>
      <c r="D52" s="126">
        <f>[53]Folha1!$I$49</f>
        <v>69.35524777416596</v>
      </c>
      <c r="E52" s="127">
        <f>[53]Folha1!$Y$53</f>
        <v>893721.09999999986</v>
      </c>
      <c r="F52" s="127">
        <f t="shared" si="15"/>
        <v>43391.900000000009</v>
      </c>
      <c r="G52" s="126">
        <f t="shared" si="5"/>
        <v>1.5983454924574851E-3</v>
      </c>
      <c r="H52" s="128">
        <f>'[6]Mensais 07-12 MOD''s'!O$52</f>
        <v>143244.22021197301</v>
      </c>
      <c r="I52" s="129">
        <f t="shared" si="9"/>
        <v>0.16027843609373554</v>
      </c>
      <c r="J52" s="128">
        <f t="shared" si="6"/>
        <v>3.3011741871633409</v>
      </c>
      <c r="K52" s="130">
        <f>'[6]Mensais 07-12 MOD''s'!O$58</f>
        <v>82432.988703297451</v>
      </c>
      <c r="L52" s="131">
        <f t="shared" si="10"/>
        <v>9.2235697135602437E-2</v>
      </c>
      <c r="M52" s="130">
        <f t="shared" si="0"/>
        <v>1.8997321782014025</v>
      </c>
      <c r="N52" s="132">
        <f>'[6]Mensais 07-12 MOD''s'!O$64</f>
        <v>184686.12577917159</v>
      </c>
      <c r="O52" s="133">
        <f t="shared" si="11"/>
        <v>0.2066485011701879</v>
      </c>
      <c r="P52" s="132">
        <f t="shared" si="1"/>
        <v>4.2562350526059367</v>
      </c>
      <c r="Q52" s="113">
        <f t="shared" si="17"/>
        <v>410363.33469444205</v>
      </c>
      <c r="R52" s="127">
        <f t="shared" si="7"/>
        <v>0.45916263439952587</v>
      </c>
      <c r="S52" s="134">
        <f t="shared" si="2"/>
        <v>9.4571414179706803</v>
      </c>
      <c r="T52" s="121"/>
      <c r="U52" s="105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T52" s="124"/>
      <c r="AU52" s="125" t="s">
        <v>47</v>
      </c>
      <c r="AV52" s="135">
        <f t="shared" si="3"/>
        <v>9.4571414179706803</v>
      </c>
      <c r="AW52" s="134">
        <f t="shared" si="4"/>
        <v>893721.09999999986</v>
      </c>
      <c r="AX52" s="2"/>
      <c r="AY52" s="2"/>
    </row>
    <row r="53" spans="2:67" x14ac:dyDescent="0.25">
      <c r="B53" s="91">
        <v>2011</v>
      </c>
      <c r="C53" s="136" t="s">
        <v>24</v>
      </c>
      <c r="D53" s="96">
        <f>[54]Folha1!$I$49</f>
        <v>69.111578522782509</v>
      </c>
      <c r="E53" s="137">
        <f>[54]Folha1!$Y$53</f>
        <v>848948.79999999981</v>
      </c>
      <c r="F53" s="137">
        <f t="shared" si="15"/>
        <v>43391.900000000009</v>
      </c>
      <c r="G53" s="96">
        <f t="shared" si="5"/>
        <v>1.5927299455147734E-3</v>
      </c>
      <c r="H53" s="97">
        <f>'[6]Mensais 07-12 MOD''s'!D$53</f>
        <v>150015.95421679007</v>
      </c>
      <c r="I53" s="138">
        <f t="shared" si="9"/>
        <v>0.17670789359357136</v>
      </c>
      <c r="J53" s="97">
        <f t="shared" si="6"/>
        <v>3.4572340509816355</v>
      </c>
      <c r="K53" s="99">
        <f>'[6]Mensais 07-12 MOD''s'!D$59</f>
        <v>75261.80113976862</v>
      </c>
      <c r="L53" s="139">
        <f t="shared" si="10"/>
        <v>8.86529330623574E-2</v>
      </c>
      <c r="M53" s="99">
        <f t="shared" si="0"/>
        <v>1.7344665972167295</v>
      </c>
      <c r="N53" s="101">
        <f>'[6]Mensais 07-12 MOD''s'!D$65</f>
        <v>175359.64063288199</v>
      </c>
      <c r="O53" s="140">
        <f t="shared" si="11"/>
        <v>0.20656091466632856</v>
      </c>
      <c r="P53" s="101">
        <f t="shared" si="1"/>
        <v>4.0412989666938293</v>
      </c>
      <c r="Q53" s="137">
        <f>SUM(H53,K53,N53)</f>
        <v>400637.39598944067</v>
      </c>
      <c r="R53" s="137">
        <f t="shared" si="7"/>
        <v>0.47192174132225734</v>
      </c>
      <c r="S53" s="109">
        <f t="shared" si="2"/>
        <v>9.2329996148921936</v>
      </c>
      <c r="T53" s="121"/>
      <c r="U53" s="105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T53" s="91">
        <v>2011</v>
      </c>
      <c r="AU53" s="136" t="s">
        <v>24</v>
      </c>
      <c r="AV53" s="108">
        <f t="shared" si="3"/>
        <v>9.2329996148921936</v>
      </c>
      <c r="AW53" s="109">
        <f t="shared" si="4"/>
        <v>848948.79999999981</v>
      </c>
      <c r="AX53" s="2"/>
      <c r="AY53" s="2"/>
    </row>
    <row r="54" spans="2:67" x14ac:dyDescent="0.25">
      <c r="B54" s="110"/>
      <c r="C54" s="111" t="s">
        <v>27</v>
      </c>
      <c r="D54" s="112">
        <f>[55]Folha1!$I$49</f>
        <v>71.09968697733008</v>
      </c>
      <c r="E54" s="113">
        <f>[55]Folha1!$Y$53</f>
        <v>748481.29999999993</v>
      </c>
      <c r="F54" s="113">
        <f t="shared" si="15"/>
        <v>43391.900000000009</v>
      </c>
      <c r="G54" s="112">
        <f t="shared" si="5"/>
        <v>1.63854744727311E-3</v>
      </c>
      <c r="H54" s="114">
        <f>'[6]Mensais 07-12 MOD''s'!E$53</f>
        <v>129443.63808783038</v>
      </c>
      <c r="I54" s="115">
        <f t="shared" si="9"/>
        <v>0.17294171288959442</v>
      </c>
      <c r="J54" s="114">
        <f t="shared" si="6"/>
        <v>2.9831290652824687</v>
      </c>
      <c r="K54" s="116">
        <f>'[6]Mensais 07-12 MOD''s'!E$59</f>
        <v>53813.18689699204</v>
      </c>
      <c r="L54" s="117">
        <f t="shared" si="10"/>
        <v>7.1896501485063213E-2</v>
      </c>
      <c r="M54" s="116">
        <f t="shared" si="0"/>
        <v>1.2401666416310886</v>
      </c>
      <c r="N54" s="118">
        <f>'[6]Mensais 07-12 MOD''s'!E$65</f>
        <v>130098.56821283601</v>
      </c>
      <c r="O54" s="119">
        <f t="shared" si="11"/>
        <v>0.17381672489724997</v>
      </c>
      <c r="P54" s="118">
        <f t="shared" si="1"/>
        <v>2.9982224381240732</v>
      </c>
      <c r="Q54" s="113">
        <f>SUM(H54,K54,N54)</f>
        <v>313355.39319765841</v>
      </c>
      <c r="R54" s="113">
        <f t="shared" si="7"/>
        <v>0.41865493927190761</v>
      </c>
      <c r="S54" s="120">
        <f t="shared" si="2"/>
        <v>7.2215181450376305</v>
      </c>
      <c r="T54" s="121"/>
      <c r="U54" s="105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T54" s="110"/>
      <c r="AU54" s="111" t="s">
        <v>27</v>
      </c>
      <c r="AV54" s="123">
        <f t="shared" si="3"/>
        <v>7.2215181450376305</v>
      </c>
      <c r="AW54" s="120">
        <f t="shared" si="4"/>
        <v>748481.29999999993</v>
      </c>
      <c r="AX54" s="2"/>
      <c r="AY54" s="2"/>
    </row>
    <row r="55" spans="2:67" x14ac:dyDescent="0.25">
      <c r="B55" s="110"/>
      <c r="C55" s="111" t="s">
        <v>29</v>
      </c>
      <c r="D55" s="112">
        <f>[56]Folha1!$I$49</f>
        <v>69.874369636379726</v>
      </c>
      <c r="E55" s="113">
        <f>[56]Folha1!$Y$53</f>
        <v>898445.89999999967</v>
      </c>
      <c r="F55" s="113">
        <f t="shared" si="15"/>
        <v>43391.900000000009</v>
      </c>
      <c r="G55" s="112">
        <f t="shared" si="5"/>
        <v>1.610309058519671E-3</v>
      </c>
      <c r="H55" s="114">
        <f>'[6]Mensais 07-12 MOD''s'!F$53</f>
        <v>139735.14433080729</v>
      </c>
      <c r="I55" s="115">
        <f t="shared" si="9"/>
        <v>0.15552983694489267</v>
      </c>
      <c r="J55" s="114">
        <f t="shared" si="6"/>
        <v>3.2203048110547652</v>
      </c>
      <c r="K55" s="116">
        <f>'[6]Mensais 07-12 MOD''s'!F$59</f>
        <v>68765.723398249349</v>
      </c>
      <c r="L55" s="117">
        <f t="shared" si="10"/>
        <v>7.6538524354387252E-2</v>
      </c>
      <c r="M55" s="116">
        <f t="shared" si="0"/>
        <v>1.5847594458470207</v>
      </c>
      <c r="N55" s="118">
        <f>'[6]Mensais 07-12 MOD''s'!F$65</f>
        <v>74613.695928762827</v>
      </c>
      <c r="O55" s="119">
        <f t="shared" si="11"/>
        <v>8.3047511184327127E-2</v>
      </c>
      <c r="P55" s="118">
        <f t="shared" si="1"/>
        <v>1.7195305098131866</v>
      </c>
      <c r="Q55" s="113">
        <f t="shared" ref="Q55:Q64" si="18">SUM(H55,K55,N55)</f>
        <v>283114.56365781947</v>
      </c>
      <c r="R55" s="113">
        <f t="shared" si="7"/>
        <v>0.31511587248360706</v>
      </c>
      <c r="S55" s="120">
        <f t="shared" si="2"/>
        <v>6.5245947667149728</v>
      </c>
      <c r="T55" s="121"/>
      <c r="U55" s="105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T55" s="110"/>
      <c r="AU55" s="111" t="s">
        <v>29</v>
      </c>
      <c r="AV55" s="123">
        <f t="shared" si="3"/>
        <v>6.5245947667149728</v>
      </c>
      <c r="AW55" s="120">
        <f t="shared" si="4"/>
        <v>898445.89999999967</v>
      </c>
      <c r="AX55" s="2"/>
      <c r="AY55" s="2"/>
      <c r="BJ55" s="90" t="s">
        <v>3</v>
      </c>
      <c r="BK55" s="90" t="s">
        <v>22</v>
      </c>
      <c r="BL55" s="90" t="s">
        <v>10</v>
      </c>
    </row>
    <row r="56" spans="2:67" x14ac:dyDescent="0.25">
      <c r="B56" s="110"/>
      <c r="C56" s="111" t="s">
        <v>31</v>
      </c>
      <c r="D56" s="112">
        <f>[57]Folha1!$I$49</f>
        <v>69.692647969565598</v>
      </c>
      <c r="E56" s="113">
        <f>[57]Folha1!$Y$53</f>
        <v>876373.5</v>
      </c>
      <c r="F56" s="113">
        <f t="shared" si="15"/>
        <v>43391.900000000009</v>
      </c>
      <c r="G56" s="112">
        <f t="shared" si="5"/>
        <v>1.6061211417238144E-3</v>
      </c>
      <c r="H56" s="114">
        <f>'[6]Mensais 07-12 MOD''s'!G$53</f>
        <v>128495.02133175053</v>
      </c>
      <c r="I56" s="115">
        <f t="shared" si="9"/>
        <v>0.14662129940231022</v>
      </c>
      <c r="J56" s="114">
        <f t="shared" si="6"/>
        <v>2.9612674561784686</v>
      </c>
      <c r="K56" s="116">
        <f>'[6]Mensais 07-12 MOD''s'!G$59</f>
        <v>72344.153473920334</v>
      </c>
      <c r="L56" s="117">
        <f t="shared" si="10"/>
        <v>8.2549453485209603E-2</v>
      </c>
      <c r="M56" s="116">
        <f t="shared" si="0"/>
        <v>1.6672271431746553</v>
      </c>
      <c r="N56" s="118">
        <f>'[6]Mensais 07-12 MOD''s'!G$65</f>
        <v>74613.695928762827</v>
      </c>
      <c r="O56" s="119">
        <f t="shared" si="11"/>
        <v>8.5139151205237074E-2</v>
      </c>
      <c r="P56" s="118">
        <f t="shared" si="1"/>
        <v>1.7195305098131866</v>
      </c>
      <c r="Q56" s="113">
        <f t="shared" si="18"/>
        <v>275452.8707344337</v>
      </c>
      <c r="R56" s="113">
        <f t="shared" si="7"/>
        <v>0.31430990409275694</v>
      </c>
      <c r="S56" s="120">
        <f t="shared" si="2"/>
        <v>6.3480251091663105</v>
      </c>
      <c r="T56" s="121"/>
      <c r="U56" s="105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T56" s="110"/>
      <c r="AU56" s="111" t="s">
        <v>31</v>
      </c>
      <c r="AV56" s="123">
        <f t="shared" si="3"/>
        <v>6.3480251091663105</v>
      </c>
      <c r="AW56" s="120">
        <f t="shared" si="4"/>
        <v>876373.5</v>
      </c>
      <c r="AX56" s="2"/>
      <c r="AY56" s="2"/>
      <c r="BJ56" s="90">
        <v>2007</v>
      </c>
      <c r="BK56" s="141">
        <f>AVERAGE(AW11:AW13)</f>
        <v>911165.16666666651</v>
      </c>
      <c r="BL56" s="141">
        <f>AVERAGE(AV11,AV12,AV13)</f>
        <v>5.8017212245430771</v>
      </c>
    </row>
    <row r="57" spans="2:67" x14ac:dyDescent="0.25">
      <c r="B57" s="110"/>
      <c r="C57" s="111" t="s">
        <v>33</v>
      </c>
      <c r="D57" s="112">
        <f>[58]Folha1!$I$49</f>
        <v>70.213474584252538</v>
      </c>
      <c r="E57" s="113">
        <f>[58]Folha1!$Y$53</f>
        <v>896949.39999999979</v>
      </c>
      <c r="F57" s="113">
        <f t="shared" si="15"/>
        <v>43391.900000000009</v>
      </c>
      <c r="G57" s="112">
        <f t="shared" si="5"/>
        <v>1.6181239951293335E-3</v>
      </c>
      <c r="H57" s="114">
        <f>'[6]Mensais 07-12 MOD''s'!H$53</f>
        <v>125640.05800207907</v>
      </c>
      <c r="I57" s="115">
        <f t="shared" si="9"/>
        <v>0.1400748559529435</v>
      </c>
      <c r="J57" s="114">
        <f t="shared" si="6"/>
        <v>2.8954726112956344</v>
      </c>
      <c r="K57" s="116">
        <f>'[6]Mensais 07-12 MOD''s'!H$59</f>
        <v>77765.692287899379</v>
      </c>
      <c r="L57" s="117">
        <f t="shared" si="10"/>
        <v>8.6700199908600645E-2</v>
      </c>
      <c r="M57" s="116">
        <f t="shared" si="0"/>
        <v>1.7921707113055516</v>
      </c>
      <c r="N57" s="118">
        <f>'[6]Mensais 07-12 MOD''s'!H$65</f>
        <v>0</v>
      </c>
      <c r="O57" s="119">
        <f t="shared" si="11"/>
        <v>0</v>
      </c>
      <c r="P57" s="118">
        <f t="shared" si="1"/>
        <v>0</v>
      </c>
      <c r="Q57" s="113">
        <f t="shared" si="18"/>
        <v>203405.75028997846</v>
      </c>
      <c r="R57" s="113">
        <f t="shared" si="7"/>
        <v>0.22677505586154414</v>
      </c>
      <c r="S57" s="120">
        <f t="shared" si="2"/>
        <v>4.6876433226011862</v>
      </c>
      <c r="T57" s="121"/>
      <c r="U57" s="105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J57" s="54"/>
      <c r="AK57" s="54"/>
      <c r="AL57" s="54"/>
      <c r="AM57" s="54"/>
      <c r="AT57" s="110"/>
      <c r="AU57" s="111" t="s">
        <v>33</v>
      </c>
      <c r="AV57" s="123">
        <f t="shared" si="3"/>
        <v>4.6876433226011862</v>
      </c>
      <c r="AW57" s="120">
        <f t="shared" si="4"/>
        <v>896949.39999999979</v>
      </c>
      <c r="AX57" s="2"/>
      <c r="AY57" s="2"/>
      <c r="BJ57" s="90">
        <v>2008</v>
      </c>
      <c r="BK57" s="142">
        <f>AVERAGE(AW23:AW25)</f>
        <v>917301.99999999988</v>
      </c>
      <c r="BL57" s="142">
        <f>AVERAGE(AV23:AV25)</f>
        <v>5.778343004018204</v>
      </c>
    </row>
    <row r="58" spans="2:67" x14ac:dyDescent="0.25">
      <c r="B58" s="110"/>
      <c r="C58" s="111" t="s">
        <v>35</v>
      </c>
      <c r="D58" s="112">
        <f>[59]Folha1!$I$49</f>
        <v>70.192348147492794</v>
      </c>
      <c r="E58" s="113">
        <f>[59]Folha1!$Y$53</f>
        <v>821570.2</v>
      </c>
      <c r="F58" s="113">
        <f t="shared" si="15"/>
        <v>43391.900000000009</v>
      </c>
      <c r="G58" s="112">
        <f t="shared" si="5"/>
        <v>1.6176371200037974E-3</v>
      </c>
      <c r="H58" s="114">
        <f>'[6]Mensais 07-12 MOD''s'!I$53</f>
        <v>115733.84071722592</v>
      </c>
      <c r="I58" s="115">
        <f t="shared" si="9"/>
        <v>0.14086908302811607</v>
      </c>
      <c r="J58" s="114">
        <f t="shared" si="6"/>
        <v>2.6671761484799212</v>
      </c>
      <c r="K58" s="116">
        <f>'[6]Mensais 07-12 MOD''s'!I$59</f>
        <v>81294.607802990897</v>
      </c>
      <c r="L58" s="117">
        <f t="shared" si="10"/>
        <v>9.8950287879223109E-2</v>
      </c>
      <c r="M58" s="116">
        <f t="shared" si="0"/>
        <v>1.8734973071700221</v>
      </c>
      <c r="N58" s="118">
        <f>'[6]Mensais 07-12 MOD''s'!I$65</f>
        <v>0</v>
      </c>
      <c r="O58" s="119">
        <f t="shared" si="11"/>
        <v>0</v>
      </c>
      <c r="P58" s="118">
        <f t="shared" si="1"/>
        <v>0</v>
      </c>
      <c r="Q58" s="113">
        <f t="shared" si="18"/>
        <v>197028.4485202168</v>
      </c>
      <c r="R58" s="113">
        <f t="shared" si="7"/>
        <v>0.23981937090733915</v>
      </c>
      <c r="S58" s="120">
        <f t="shared" si="2"/>
        <v>4.5406734556499426</v>
      </c>
      <c r="T58" s="121"/>
      <c r="U58" s="105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J58" s="54"/>
      <c r="AK58" s="54"/>
      <c r="AL58" s="54"/>
      <c r="AM58" s="54"/>
      <c r="AT58" s="110"/>
      <c r="AU58" s="111" t="s">
        <v>35</v>
      </c>
      <c r="AV58" s="123">
        <f t="shared" si="3"/>
        <v>4.5406734556499426</v>
      </c>
      <c r="AW58" s="120">
        <f t="shared" si="4"/>
        <v>821570.2</v>
      </c>
      <c r="AX58" s="2"/>
      <c r="AY58" s="2"/>
      <c r="BJ58" s="90">
        <v>2009</v>
      </c>
      <c r="BK58" s="142">
        <f>AVERAGE(AW35:AW37)</f>
        <v>885685.66666666651</v>
      </c>
      <c r="BL58" s="142">
        <f>AVERAGE(AV35:AV37)</f>
        <v>5.8837035586519262</v>
      </c>
    </row>
    <row r="59" spans="2:67" x14ac:dyDescent="0.25">
      <c r="B59" s="110"/>
      <c r="C59" s="111" t="s">
        <v>37</v>
      </c>
      <c r="D59" s="112">
        <f>[60]Folha1!$I$49</f>
        <v>68.522715921836337</v>
      </c>
      <c r="E59" s="113">
        <f>[60]Folha1!$Y$53</f>
        <v>953637.59999999986</v>
      </c>
      <c r="F59" s="113">
        <f t="shared" si="15"/>
        <v>43391.900000000009</v>
      </c>
      <c r="G59" s="112">
        <f t="shared" si="5"/>
        <v>1.579159150021924E-3</v>
      </c>
      <c r="H59" s="114">
        <f>'[6]Mensais 07-12 MOD''s'!J$53</f>
        <v>138841.00520921731</v>
      </c>
      <c r="I59" s="115">
        <f t="shared" si="9"/>
        <v>0.14559095112149242</v>
      </c>
      <c r="J59" s="114">
        <f t="shared" si="6"/>
        <v>3.1996986813026691</v>
      </c>
      <c r="K59" s="116">
        <f>'[6]Mensais 07-12 MOD''s'!J$59</f>
        <v>105431.35105604967</v>
      </c>
      <c r="L59" s="117">
        <f t="shared" si="10"/>
        <v>0.11055704080465124</v>
      </c>
      <c r="M59" s="116">
        <f t="shared" si="0"/>
        <v>2.429747281314016</v>
      </c>
      <c r="N59" s="118">
        <f>'[6]Mensais 07-12 MOD''s'!J$65</f>
        <v>0</v>
      </c>
      <c r="O59" s="119">
        <f t="shared" si="11"/>
        <v>0</v>
      </c>
      <c r="P59" s="118">
        <f t="shared" si="1"/>
        <v>0</v>
      </c>
      <c r="Q59" s="113">
        <f t="shared" si="18"/>
        <v>244272.35626526698</v>
      </c>
      <c r="R59" s="113">
        <f t="shared" si="7"/>
        <v>0.25614799192614368</v>
      </c>
      <c r="S59" s="120">
        <f t="shared" si="2"/>
        <v>5.6294459626166846</v>
      </c>
      <c r="T59" s="121"/>
      <c r="U59" s="105"/>
      <c r="AJ59" s="54"/>
      <c r="AK59" s="54"/>
      <c r="AL59" s="54"/>
      <c r="AM59" s="54"/>
      <c r="AT59" s="110"/>
      <c r="AU59" s="111" t="s">
        <v>37</v>
      </c>
      <c r="AV59" s="123">
        <f t="shared" si="3"/>
        <v>5.6294459626166846</v>
      </c>
      <c r="AW59" s="120">
        <f t="shared" si="4"/>
        <v>953637.59999999986</v>
      </c>
      <c r="AX59" s="2"/>
      <c r="AY59" s="2"/>
      <c r="BJ59" s="90">
        <v>2010</v>
      </c>
      <c r="BK59" s="142">
        <f>AVERAGE(AW47:AW49)</f>
        <v>896123.66666666651</v>
      </c>
      <c r="BL59" s="142">
        <f>AVERAGE(AV47:AV49)</f>
        <v>6.4006435409555342</v>
      </c>
    </row>
    <row r="60" spans="2:67" x14ac:dyDescent="0.25">
      <c r="B60" s="110"/>
      <c r="C60" s="111" t="s">
        <v>39</v>
      </c>
      <c r="D60" s="112">
        <f>[61]Folha1!$I$49</f>
        <v>66.322339011719222</v>
      </c>
      <c r="E60" s="113">
        <f>[61]Folha1!$Y$53</f>
        <v>898842.69999999984</v>
      </c>
      <c r="F60" s="113">
        <f t="shared" si="15"/>
        <v>43391.900000000009</v>
      </c>
      <c r="G60" s="112">
        <f t="shared" si="5"/>
        <v>1.5284497570219144E-3</v>
      </c>
      <c r="H60" s="114">
        <f>'[6]Mensais 07-12 MOD''s'!K$53</f>
        <v>131711.52810503606</v>
      </c>
      <c r="I60" s="115">
        <f t="shared" si="9"/>
        <v>0.14653456951370478</v>
      </c>
      <c r="J60" s="114">
        <f t="shared" si="6"/>
        <v>3.0353943502136582</v>
      </c>
      <c r="K60" s="116">
        <f>'[6]Mensais 07-12 MOD''s'!K$59</f>
        <v>89050.57669344313</v>
      </c>
      <c r="L60" s="117">
        <f t="shared" si="10"/>
        <v>9.9072481417986871E-2</v>
      </c>
      <c r="M60" s="116">
        <f t="shared" si="0"/>
        <v>2.0522396275213373</v>
      </c>
      <c r="N60" s="118">
        <f>'[6]Mensais 07-12 MOD''s'!K$65</f>
        <v>0</v>
      </c>
      <c r="O60" s="119">
        <f t="shared" si="11"/>
        <v>0</v>
      </c>
      <c r="P60" s="118">
        <f t="shared" si="1"/>
        <v>0</v>
      </c>
      <c r="Q60" s="113">
        <f t="shared" si="18"/>
        <v>220762.10479847918</v>
      </c>
      <c r="R60" s="113">
        <f t="shared" si="7"/>
        <v>0.24560705093169163</v>
      </c>
      <c r="S60" s="120">
        <f t="shared" si="2"/>
        <v>5.0876339777349955</v>
      </c>
      <c r="T60" s="121"/>
      <c r="U60" s="105"/>
      <c r="AT60" s="110"/>
      <c r="AU60" s="111" t="s">
        <v>39</v>
      </c>
      <c r="AV60" s="123">
        <f t="shared" si="3"/>
        <v>5.0876339777349955</v>
      </c>
      <c r="AW60" s="120">
        <f t="shared" si="4"/>
        <v>898842.69999999984</v>
      </c>
      <c r="AX60" s="2"/>
      <c r="AY60" s="2"/>
      <c r="BJ60" s="90">
        <v>2011</v>
      </c>
      <c r="BK60" s="142">
        <f>AVERAGE(AW59:AW61)</f>
        <v>897898.89999999991</v>
      </c>
      <c r="BL60" s="142">
        <f>AVERAGE(AV59:AV61)</f>
        <v>5.157490307623859</v>
      </c>
    </row>
    <row r="61" spans="2:67" x14ac:dyDescent="0.25">
      <c r="B61" s="110"/>
      <c r="C61" s="111" t="s">
        <v>41</v>
      </c>
      <c r="D61" s="112">
        <f>[62]Folha1!$I$49</f>
        <v>68.918084677617543</v>
      </c>
      <c r="E61" s="113">
        <f>[62]Folha1!$Y$53</f>
        <v>841216.4</v>
      </c>
      <c r="F61" s="113">
        <f t="shared" si="15"/>
        <v>43391.900000000009</v>
      </c>
      <c r="G61" s="112">
        <f t="shared" si="5"/>
        <v>1.5882707297356772E-3</v>
      </c>
      <c r="H61" s="114">
        <f>'[6]Mensais 07-12 MOD''s'!L$53</f>
        <v>130233.22299183604</v>
      </c>
      <c r="I61" s="115">
        <f t="shared" si="9"/>
        <v>0.15481536378966937</v>
      </c>
      <c r="J61" s="114">
        <f t="shared" si="6"/>
        <v>3.0013256619746085</v>
      </c>
      <c r="K61" s="116">
        <f>'[6]Mensais 07-12 MOD''s'!L$59</f>
        <v>76112.226982569075</v>
      </c>
      <c r="L61" s="117">
        <f t="shared" si="10"/>
        <v>9.0478772147772057E-2</v>
      </c>
      <c r="M61" s="116">
        <f t="shared" si="0"/>
        <v>1.7540653205452874</v>
      </c>
      <c r="N61" s="118">
        <f>'[6]Mensais 07-12 MOD''s'!L$65</f>
        <v>0</v>
      </c>
      <c r="O61" s="119">
        <f t="shared" si="11"/>
        <v>0</v>
      </c>
      <c r="P61" s="118">
        <f t="shared" si="1"/>
        <v>0</v>
      </c>
      <c r="Q61" s="113">
        <f t="shared" si="18"/>
        <v>206345.44997440511</v>
      </c>
      <c r="R61" s="113">
        <f t="shared" si="7"/>
        <v>0.24529413593744143</v>
      </c>
      <c r="S61" s="120">
        <f t="shared" si="2"/>
        <v>4.7553909825198959</v>
      </c>
      <c r="T61" s="121"/>
      <c r="U61" s="105"/>
      <c r="AT61" s="110"/>
      <c r="AU61" s="111" t="s">
        <v>41</v>
      </c>
      <c r="AV61" s="123">
        <f t="shared" si="3"/>
        <v>4.7553909825198959</v>
      </c>
      <c r="AW61" s="120">
        <f t="shared" si="4"/>
        <v>841216.4</v>
      </c>
      <c r="AX61" s="2"/>
      <c r="AY61" s="2"/>
      <c r="BJ61" s="90">
        <v>2012</v>
      </c>
      <c r="BK61" s="142">
        <f>AVERAGE(AW71:AW73)</f>
        <v>856139.46666666644</v>
      </c>
      <c r="BL61" s="142">
        <f>AVERAGE(AV71:AV73)</f>
        <v>6.6654103842068535</v>
      </c>
    </row>
    <row r="62" spans="2:67" x14ac:dyDescent="0.25">
      <c r="B62" s="110"/>
      <c r="C62" s="111" t="s">
        <v>43</v>
      </c>
      <c r="D62" s="112">
        <f>[63]Folha1!$I$49</f>
        <v>70.195856271862354</v>
      </c>
      <c r="E62" s="113">
        <f>[63]Folha1!$Y$53</f>
        <v>855091.79999999981</v>
      </c>
      <c r="F62" s="113">
        <f t="shared" si="15"/>
        <v>43391.900000000009</v>
      </c>
      <c r="G62" s="112">
        <f t="shared" si="5"/>
        <v>1.6177179674515829E-3</v>
      </c>
      <c r="H62" s="114">
        <f>'[6]Mensais 07-12 MOD''s'!M$53</f>
        <v>128678.06952045469</v>
      </c>
      <c r="I62" s="115">
        <f t="shared" si="9"/>
        <v>0.15048450882168993</v>
      </c>
      <c r="J62" s="114">
        <f t="shared" si="6"/>
        <v>2.9654859437004295</v>
      </c>
      <c r="K62" s="116">
        <f>'[6]Mensais 07-12 MOD''s'!M$59</f>
        <v>61034.828464313527</v>
      </c>
      <c r="L62" s="117">
        <f t="shared" si="10"/>
        <v>7.1378100531794997E-2</v>
      </c>
      <c r="M62" s="116">
        <f t="shared" si="0"/>
        <v>1.4065949742766164</v>
      </c>
      <c r="N62" s="118">
        <f>'[6]Mensais 07-12 MOD''s'!M$65</f>
        <v>0</v>
      </c>
      <c r="O62" s="119">
        <f t="shared" si="11"/>
        <v>0</v>
      </c>
      <c r="P62" s="118">
        <f t="shared" si="1"/>
        <v>0</v>
      </c>
      <c r="Q62" s="113">
        <f t="shared" si="18"/>
        <v>189712.89798476821</v>
      </c>
      <c r="R62" s="113">
        <f t="shared" si="7"/>
        <v>0.2218626093534849</v>
      </c>
      <c r="S62" s="120">
        <f t="shared" si="2"/>
        <v>4.3720809179770459</v>
      </c>
      <c r="T62" s="121"/>
      <c r="U62" s="105"/>
      <c r="AT62" s="110"/>
      <c r="AU62" s="111" t="s">
        <v>43</v>
      </c>
      <c r="AV62" s="123">
        <f t="shared" si="3"/>
        <v>4.3720809179770459</v>
      </c>
      <c r="AW62" s="120">
        <f t="shared" si="4"/>
        <v>855091.79999999981</v>
      </c>
      <c r="AX62" s="2"/>
      <c r="AY62" s="2"/>
    </row>
    <row r="63" spans="2:67" x14ac:dyDescent="0.25">
      <c r="B63" s="110"/>
      <c r="C63" s="111" t="s">
        <v>45</v>
      </c>
      <c r="D63" s="112">
        <f>[64]Folha1!$I$49</f>
        <v>70.168844063031443</v>
      </c>
      <c r="E63" s="113">
        <f>[64]Folha1!$Y$53</f>
        <v>865249.6</v>
      </c>
      <c r="F63" s="113">
        <f t="shared" si="15"/>
        <v>43391.900000000009</v>
      </c>
      <c r="G63" s="112">
        <f t="shared" si="5"/>
        <v>1.6170954501423405E-3</v>
      </c>
      <c r="H63" s="114">
        <f>'[6]Mensais 07-12 MOD''s'!N$53</f>
        <v>129225.61789198764</v>
      </c>
      <c r="I63" s="115">
        <f t="shared" si="9"/>
        <v>0.14935068203670668</v>
      </c>
      <c r="J63" s="114">
        <f t="shared" si="6"/>
        <v>2.9781046207238591</v>
      </c>
      <c r="K63" s="116">
        <f>'[6]Mensais 07-12 MOD''s'!N$59</f>
        <v>37597.62075932166</v>
      </c>
      <c r="L63" s="117">
        <f t="shared" si="10"/>
        <v>4.3452918971960991E-2</v>
      </c>
      <c r="M63" s="116">
        <f t="shared" si="0"/>
        <v>0.86646633955465546</v>
      </c>
      <c r="N63" s="118">
        <f>'[6]Mensais 07-12 MOD''s'!N$65</f>
        <v>64750.655483303737</v>
      </c>
      <c r="O63" s="119">
        <f t="shared" si="11"/>
        <v>7.4834655206201472E-2</v>
      </c>
      <c r="P63" s="118">
        <f t="shared" si="1"/>
        <v>1.4922290907589602</v>
      </c>
      <c r="Q63" s="113">
        <f t="shared" si="18"/>
        <v>231573.89413461305</v>
      </c>
      <c r="R63" s="113">
        <f t="shared" si="7"/>
        <v>0.26763825621486914</v>
      </c>
      <c r="S63" s="120">
        <f t="shared" si="2"/>
        <v>5.3368000510374749</v>
      </c>
      <c r="T63" s="121"/>
      <c r="U63" s="105"/>
      <c r="AT63" s="110"/>
      <c r="AU63" s="111" t="s">
        <v>45</v>
      </c>
      <c r="AV63" s="123">
        <f t="shared" si="3"/>
        <v>5.3368000510374749</v>
      </c>
      <c r="AW63" s="120">
        <f t="shared" si="4"/>
        <v>865249.6</v>
      </c>
      <c r="AX63" s="2"/>
      <c r="AY63" s="2"/>
    </row>
    <row r="64" spans="2:67" ht="15.75" thickBot="1" x14ac:dyDescent="0.3">
      <c r="B64" s="124"/>
      <c r="C64" s="125" t="s">
        <v>47</v>
      </c>
      <c r="D64" s="126">
        <f>[65]Folha1!$I$49</f>
        <v>68.816700105310318</v>
      </c>
      <c r="E64" s="127">
        <f>[65]Folha1!$Y$53</f>
        <v>879329.49999999977</v>
      </c>
      <c r="F64" s="127">
        <f t="shared" si="15"/>
        <v>43391.900000000009</v>
      </c>
      <c r="G64" s="126">
        <f t="shared" si="5"/>
        <v>1.5859342436102199E-3</v>
      </c>
      <c r="H64" s="128">
        <f>'[6]Mensais 07-12 MOD''s'!O$53</f>
        <v>134463.01604962884</v>
      </c>
      <c r="I64" s="129">
        <f t="shared" si="9"/>
        <v>0.15291539297797796</v>
      </c>
      <c r="J64" s="128">
        <f t="shared" si="6"/>
        <v>3.0988045245686133</v>
      </c>
      <c r="K64" s="130">
        <f>'[6]Mensais 07-12 MOD''s'!O$59</f>
        <v>28605.900352011638</v>
      </c>
      <c r="L64" s="131">
        <f t="shared" si="10"/>
        <v>3.2531491724105292E-2</v>
      </c>
      <c r="M64" s="130">
        <f t="shared" si="0"/>
        <v>0.65924516677102485</v>
      </c>
      <c r="N64" s="132">
        <f>'[6]Mensais 07-12 MOD''s'!O$65</f>
        <v>121437.37337088001</v>
      </c>
      <c r="O64" s="133">
        <f t="shared" si="11"/>
        <v>0.13810223968475985</v>
      </c>
      <c r="P64" s="132">
        <f t="shared" si="1"/>
        <v>2.7986184834238648</v>
      </c>
      <c r="Q64" s="113">
        <f t="shared" si="18"/>
        <v>284506.28977252048</v>
      </c>
      <c r="R64" s="127">
        <f t="shared" si="7"/>
        <v>0.32354912438684313</v>
      </c>
      <c r="S64" s="134">
        <f t="shared" si="2"/>
        <v>6.5566681747635025</v>
      </c>
      <c r="T64" s="121"/>
      <c r="U64" s="105"/>
      <c r="AT64" s="124"/>
      <c r="AU64" s="125" t="s">
        <v>47</v>
      </c>
      <c r="AV64" s="135">
        <f t="shared" si="3"/>
        <v>6.5566681747635025</v>
      </c>
      <c r="AW64" s="134">
        <f t="shared" si="4"/>
        <v>879329.49999999977</v>
      </c>
      <c r="AX64" s="2"/>
      <c r="AY64" s="2"/>
    </row>
    <row r="65" spans="2:64" x14ac:dyDescent="0.25">
      <c r="B65" s="91">
        <v>2012</v>
      </c>
      <c r="C65" s="136" t="s">
        <v>24</v>
      </c>
      <c r="D65" s="96">
        <f>[66]Folha1!$I$49</f>
        <v>69.159867158685628</v>
      </c>
      <c r="E65" s="137">
        <f>[66]Folha1!$Y$53</f>
        <v>892555.89999999979</v>
      </c>
      <c r="F65" s="137">
        <f t="shared" si="15"/>
        <v>43391.900000000009</v>
      </c>
      <c r="G65" s="96">
        <f t="shared" si="5"/>
        <v>1.5938427945926686E-3</v>
      </c>
      <c r="H65" s="97">
        <f>'[6]Mensais 07-12 MOD''s'!D$54</f>
        <v>133777.53196069587</v>
      </c>
      <c r="I65" s="138">
        <f t="shared" si="9"/>
        <v>0.14988140458283442</v>
      </c>
      <c r="J65" s="97">
        <f t="shared" si="6"/>
        <v>3.0830070119237885</v>
      </c>
      <c r="K65" s="99">
        <f>'[6]Mensais 07-12 MOD''s'!D$60</f>
        <v>33096.102576553181</v>
      </c>
      <c r="L65" s="139">
        <f t="shared" si="10"/>
        <v>3.7080145430166543E-2</v>
      </c>
      <c r="M65" s="99">
        <f t="shared" si="0"/>
        <v>0.7627253606445713</v>
      </c>
      <c r="N65" s="101">
        <f>'[6]Mensais 07-12 MOD''s'!D$66</f>
        <v>136786.75078460801</v>
      </c>
      <c r="O65" s="140">
        <f t="shared" si="11"/>
        <v>0.15325286717012127</v>
      </c>
      <c r="P65" s="101">
        <f t="shared" si="1"/>
        <v>3.1523567943465944</v>
      </c>
      <c r="Q65" s="137">
        <f>SUM(H65,K65,N65)</f>
        <v>303660.38532185706</v>
      </c>
      <c r="R65" s="137">
        <f t="shared" si="7"/>
        <v>0.34021441718312223</v>
      </c>
      <c r="S65" s="109">
        <f t="shared" si="2"/>
        <v>6.9980891669149541</v>
      </c>
      <c r="T65" s="121"/>
      <c r="U65" s="105"/>
      <c r="AT65" s="91">
        <v>2012</v>
      </c>
      <c r="AU65" s="136" t="s">
        <v>24</v>
      </c>
      <c r="AV65" s="108">
        <f t="shared" si="3"/>
        <v>6.9980891669149541</v>
      </c>
      <c r="AW65" s="109">
        <f t="shared" si="4"/>
        <v>892555.89999999979</v>
      </c>
      <c r="AX65" s="2"/>
      <c r="AY65" s="2"/>
    </row>
    <row r="66" spans="2:64" x14ac:dyDescent="0.25">
      <c r="B66" s="110"/>
      <c r="C66" s="111" t="s">
        <v>27</v>
      </c>
      <c r="D66" s="112">
        <f>[67]Folha1!$I$49</f>
        <v>70.314543692499498</v>
      </c>
      <c r="E66" s="113">
        <f>[67]Folha1!$Y$53</f>
        <v>819752.70000000007</v>
      </c>
      <c r="F66" s="113">
        <f t="shared" si="15"/>
        <v>43391.900000000009</v>
      </c>
      <c r="G66" s="112">
        <f t="shared" si="5"/>
        <v>1.620453211140777E-3</v>
      </c>
      <c r="H66" s="114">
        <f>'[6]Mensais 07-12 MOD''s'!E$54</f>
        <v>127949.45974578116</v>
      </c>
      <c r="I66" s="115">
        <f t="shared" si="9"/>
        <v>0.15608299886756233</v>
      </c>
      <c r="J66" s="114">
        <f t="shared" si="6"/>
        <v>2.948694566169749</v>
      </c>
      <c r="K66" s="116">
        <f>'[6]Mensais 07-12 MOD''s'!E$60</f>
        <v>57494.130813979085</v>
      </c>
      <c r="L66" s="117">
        <f t="shared" si="10"/>
        <v>7.0135945650412715E-2</v>
      </c>
      <c r="M66" s="116">
        <f t="shared" si="0"/>
        <v>1.3249968499646034</v>
      </c>
      <c r="N66" s="118">
        <f>'[6]Mensais 07-12 MOD''s'!E$66</f>
        <v>231563.08568567244</v>
      </c>
      <c r="O66" s="119">
        <f t="shared" si="11"/>
        <v>0.28247919852618042</v>
      </c>
      <c r="P66" s="118">
        <f t="shared" si="1"/>
        <v>5.3365509619461786</v>
      </c>
      <c r="Q66" s="113">
        <f>SUM(H66,K66,N66)</f>
        <v>417006.6762454327</v>
      </c>
      <c r="R66" s="113">
        <f t="shared" si="7"/>
        <v>0.5086981430441555</v>
      </c>
      <c r="S66" s="120">
        <f t="shared" si="2"/>
        <v>9.6102423780805317</v>
      </c>
      <c r="T66" s="121"/>
      <c r="U66" s="105"/>
      <c r="AT66" s="110"/>
      <c r="AU66" s="111" t="s">
        <v>27</v>
      </c>
      <c r="AV66" s="123">
        <f t="shared" si="3"/>
        <v>9.6102423780805317</v>
      </c>
      <c r="AW66" s="120">
        <f t="shared" si="4"/>
        <v>819752.70000000007</v>
      </c>
      <c r="AX66" s="2"/>
      <c r="AY66" s="2"/>
    </row>
    <row r="67" spans="2:64" x14ac:dyDescent="0.25">
      <c r="B67" s="110"/>
      <c r="C67" s="111" t="s">
        <v>29</v>
      </c>
      <c r="D67" s="112">
        <f>[68]Folha1!$I$49</f>
        <v>69.457742211364575</v>
      </c>
      <c r="E67" s="113">
        <f>[68]Folha1!$Y$53</f>
        <v>875754.59999999986</v>
      </c>
      <c r="F67" s="113">
        <f t="shared" si="15"/>
        <v>43391.900000000009</v>
      </c>
      <c r="G67" s="112">
        <f t="shared" si="5"/>
        <v>1.6007075562804248E-3</v>
      </c>
      <c r="H67" s="114">
        <f>'[6]Mensais 07-12 MOD''s'!F$54</f>
        <v>159157.03824801941</v>
      </c>
      <c r="I67" s="115">
        <f t="shared" si="9"/>
        <v>0.1817370279848024</v>
      </c>
      <c r="J67" s="114">
        <f t="shared" si="6"/>
        <v>3.6678974243584488</v>
      </c>
      <c r="K67" s="116">
        <f>'[6]Mensais 07-12 MOD''s'!F$60</f>
        <v>79346.511025518266</v>
      </c>
      <c r="L67" s="117">
        <f t="shared" si="10"/>
        <v>9.0603590349988772E-2</v>
      </c>
      <c r="M67" s="116">
        <f t="shared" si="0"/>
        <v>1.8286019055519176</v>
      </c>
      <c r="N67" s="118">
        <f>'[6]Mensais 07-12 MOD''s'!F$66</f>
        <v>63574.141962700647</v>
      </c>
      <c r="O67" s="119">
        <f t="shared" si="11"/>
        <v>7.2593557559047547E-2</v>
      </c>
      <c r="P67" s="118">
        <f t="shared" si="1"/>
        <v>1.4651154239086244</v>
      </c>
      <c r="Q67" s="113">
        <f t="shared" ref="Q67:Q76" si="19">SUM(H67,K67,N67)</f>
        <v>302077.69123623834</v>
      </c>
      <c r="R67" s="113">
        <f t="shared" si="7"/>
        <v>0.34493417589383873</v>
      </c>
      <c r="S67" s="120">
        <f t="shared" si="2"/>
        <v>6.9616147538189912</v>
      </c>
      <c r="T67" s="121"/>
      <c r="U67" s="105"/>
      <c r="AT67" s="110"/>
      <c r="AU67" s="111" t="s">
        <v>29</v>
      </c>
      <c r="AV67" s="123">
        <f t="shared" si="3"/>
        <v>6.9616147538189912</v>
      </c>
      <c r="AW67" s="120">
        <f t="shared" si="4"/>
        <v>875754.59999999986</v>
      </c>
      <c r="AX67" s="2"/>
      <c r="AY67" s="2"/>
    </row>
    <row r="68" spans="2:64" x14ac:dyDescent="0.25">
      <c r="B68" s="110"/>
      <c r="C68" s="111" t="s">
        <v>31</v>
      </c>
      <c r="D68" s="112">
        <f>[69]Folha1!$I$49</f>
        <v>69.591838941480631</v>
      </c>
      <c r="E68" s="113">
        <f>[69]Folha1!$Y$53</f>
        <v>861529.3</v>
      </c>
      <c r="F68" s="113">
        <f t="shared" si="15"/>
        <v>43391.900000000009</v>
      </c>
      <c r="G68" s="112">
        <f t="shared" si="5"/>
        <v>1.6037979194614806E-3</v>
      </c>
      <c r="H68" s="114">
        <f>'[6]Mensais 07-12 MOD''s'!G$54</f>
        <v>126542.34972613362</v>
      </c>
      <c r="I68" s="115">
        <f t="shared" si="9"/>
        <v>0.14688107499783654</v>
      </c>
      <c r="J68" s="114">
        <f t="shared" si="6"/>
        <v>2.9162666240965156</v>
      </c>
      <c r="K68" s="116">
        <f>'[6]Mensais 07-12 MOD''s'!G$60</f>
        <v>84157.079301883947</v>
      </c>
      <c r="L68" s="117">
        <f t="shared" si="10"/>
        <v>9.7683362947590918E-2</v>
      </c>
      <c r="M68" s="116">
        <f t="shared" si="0"/>
        <v>1.9394651836375898</v>
      </c>
      <c r="N68" s="118">
        <f>'[6]Mensais 07-12 MOD''s'!G$66</f>
        <v>37933.065713717588</v>
      </c>
      <c r="O68" s="119">
        <f t="shared" si="11"/>
        <v>4.4029919485869588E-2</v>
      </c>
      <c r="P68" s="118">
        <f t="shared" si="1"/>
        <v>0.87419692877513033</v>
      </c>
      <c r="Q68" s="113">
        <f t="shared" si="19"/>
        <v>248632.49474173517</v>
      </c>
      <c r="R68" s="113">
        <f t="shared" si="7"/>
        <v>0.28859435743129708</v>
      </c>
      <c r="S68" s="120">
        <f t="shared" si="2"/>
        <v>5.729928736509236</v>
      </c>
      <c r="T68" s="121"/>
      <c r="U68" s="105"/>
      <c r="AT68" s="110"/>
      <c r="AU68" s="111" t="s">
        <v>31</v>
      </c>
      <c r="AV68" s="123">
        <f t="shared" si="3"/>
        <v>5.729928736509236</v>
      </c>
      <c r="AW68" s="120">
        <f t="shared" si="4"/>
        <v>861529.3</v>
      </c>
      <c r="AX68" s="2"/>
      <c r="AY68" s="2"/>
    </row>
    <row r="69" spans="2:64" x14ac:dyDescent="0.25">
      <c r="B69" s="110"/>
      <c r="C69" s="111" t="s">
        <v>33</v>
      </c>
      <c r="D69" s="112">
        <f>[70]Folha1!$I$49</f>
        <v>69.547498570652579</v>
      </c>
      <c r="E69" s="113">
        <f>[70]Folha1!$Y$53</f>
        <v>892342.29999999981</v>
      </c>
      <c r="F69" s="113">
        <f t="shared" si="15"/>
        <v>43391.900000000009</v>
      </c>
      <c r="G69" s="112">
        <f t="shared" si="5"/>
        <v>1.6027760612154012E-3</v>
      </c>
      <c r="H69" s="114">
        <f>'[6]Mensais 07-12 MOD''s'!H$54</f>
        <v>123452.76761464005</v>
      </c>
      <c r="I69" s="115">
        <f t="shared" si="9"/>
        <v>0.13834687385618732</v>
      </c>
      <c r="J69" s="114">
        <f t="shared" si="6"/>
        <v>2.8450648073635869</v>
      </c>
      <c r="K69" s="116">
        <f>'[6]Mensais 07-12 MOD''s'!H$60</f>
        <v>128030.58759126261</v>
      </c>
      <c r="L69" s="117">
        <f t="shared" si="10"/>
        <v>0.14347699037831405</v>
      </c>
      <c r="M69" s="116">
        <f t="shared" ref="M69:M76" si="20">K69/F69</f>
        <v>2.950564220309841</v>
      </c>
      <c r="N69" s="118">
        <f>'[6]Mensais 07-12 MOD''s'!H$66</f>
        <v>8672.016307139409</v>
      </c>
      <c r="O69" s="119">
        <f t="shared" si="11"/>
        <v>9.7182620471308045E-3</v>
      </c>
      <c r="P69" s="118">
        <f t="shared" ref="P69:P76" si="21">N69/F69</f>
        <v>0.19985334376091868</v>
      </c>
      <c r="Q69" s="113">
        <f t="shared" si="19"/>
        <v>260155.37151304208</v>
      </c>
      <c r="R69" s="113">
        <f t="shared" si="7"/>
        <v>0.29154212628163223</v>
      </c>
      <c r="S69" s="120">
        <f t="shared" ref="S69:S76" si="22">Q69/F69</f>
        <v>5.9954823714343464</v>
      </c>
      <c r="T69" s="121"/>
      <c r="U69" s="105"/>
      <c r="AT69" s="110"/>
      <c r="AU69" s="111" t="s">
        <v>33</v>
      </c>
      <c r="AV69" s="123">
        <f t="shared" ref="AV69:AV76" si="23">S69</f>
        <v>5.9954823714343464</v>
      </c>
      <c r="AW69" s="120">
        <f t="shared" ref="AW69:AW76" si="24">E69</f>
        <v>892342.29999999981</v>
      </c>
      <c r="AX69" s="2"/>
      <c r="AY69" s="2"/>
    </row>
    <row r="70" spans="2:64" x14ac:dyDescent="0.25">
      <c r="B70" s="110"/>
      <c r="C70" s="111" t="s">
        <v>35</v>
      </c>
      <c r="D70" s="112">
        <f>[71]Folha1!$I$49</f>
        <v>69.426120892191861</v>
      </c>
      <c r="E70" s="113">
        <f>[71]Folha1!$Y$53</f>
        <v>857288.3</v>
      </c>
      <c r="F70" s="113">
        <f t="shared" si="15"/>
        <v>43391.900000000009</v>
      </c>
      <c r="G70" s="112">
        <f t="shared" ref="G70:G76" si="25">D70/F70</f>
        <v>1.5999788184474948E-3</v>
      </c>
      <c r="H70" s="114">
        <f>'[6]Mensais 07-12 MOD''s'!I$54</f>
        <v>127052.67340196794</v>
      </c>
      <c r="I70" s="115">
        <f t="shared" si="9"/>
        <v>0.14820297139476643</v>
      </c>
      <c r="J70" s="114">
        <f t="shared" ref="J70:J76" si="26">H70/F70</f>
        <v>2.9280274291277384</v>
      </c>
      <c r="K70" s="116">
        <f>'[6]Mensais 07-12 MOD''s'!I$60</f>
        <v>145470.15700288635</v>
      </c>
      <c r="L70" s="117">
        <f t="shared" si="10"/>
        <v>0.16968639021772061</v>
      </c>
      <c r="M70" s="116">
        <f t="shared" si="20"/>
        <v>3.3524726274462817</v>
      </c>
      <c r="N70" s="118">
        <f>'[6]Mensais 07-12 MOD''s'!I$66</f>
        <v>0</v>
      </c>
      <c r="O70" s="119">
        <f t="shared" si="11"/>
        <v>0</v>
      </c>
      <c r="P70" s="118">
        <f t="shared" si="21"/>
        <v>0</v>
      </c>
      <c r="Q70" s="113">
        <f t="shared" si="19"/>
        <v>272522.83040485426</v>
      </c>
      <c r="R70" s="113">
        <f t="shared" ref="R70:R76" si="27">Q70/E70</f>
        <v>0.31788936161248699</v>
      </c>
      <c r="S70" s="120">
        <f t="shared" si="22"/>
        <v>6.2805000565740201</v>
      </c>
      <c r="T70" s="121"/>
      <c r="U70" s="105"/>
      <c r="AT70" s="110"/>
      <c r="AU70" s="111" t="s">
        <v>35</v>
      </c>
      <c r="AV70" s="123">
        <f t="shared" si="23"/>
        <v>6.2805000565740201</v>
      </c>
      <c r="AW70" s="120">
        <f t="shared" si="24"/>
        <v>857288.3</v>
      </c>
      <c r="AX70" s="2"/>
      <c r="AY70" s="2"/>
    </row>
    <row r="71" spans="2:64" x14ac:dyDescent="0.25">
      <c r="B71" s="110"/>
      <c r="C71" s="111" t="s">
        <v>37</v>
      </c>
      <c r="D71" s="112">
        <f>[72]Folha1!$I$49</f>
        <v>68.081953691997271</v>
      </c>
      <c r="E71" s="113">
        <f>[72]Folha1!$Y$53</f>
        <v>850811.69999999984</v>
      </c>
      <c r="F71" s="113">
        <f t="shared" si="15"/>
        <v>43391.900000000009</v>
      </c>
      <c r="G71" s="112">
        <f t="shared" si="25"/>
        <v>1.5690014424811372E-3</v>
      </c>
      <c r="H71" s="114">
        <f>'[6]Mensais 07-12 MOD''s'!J$54</f>
        <v>127727.84481790484</v>
      </c>
      <c r="I71" s="115">
        <f t="shared" ref="I71:I76" si="28">H71/E71</f>
        <v>0.15012469247649612</v>
      </c>
      <c r="J71" s="114">
        <f t="shared" si="26"/>
        <v>2.9435872782225441</v>
      </c>
      <c r="K71" s="116">
        <f>'[6]Mensais 07-12 MOD''s'!J$60</f>
        <v>153850.76893798754</v>
      </c>
      <c r="L71" s="117">
        <f t="shared" ref="L71:L76" si="29">K71/E71</f>
        <v>0.18082822431565945</v>
      </c>
      <c r="M71" s="116">
        <f t="shared" si="20"/>
        <v>3.5456103313749225</v>
      </c>
      <c r="N71" s="118">
        <f>'[6]Mensais 07-12 MOD''s'!J$66</f>
        <v>0</v>
      </c>
      <c r="O71" s="119">
        <f t="shared" ref="O71:O76" si="30">N71/E71</f>
        <v>0</v>
      </c>
      <c r="P71" s="118">
        <f t="shared" si="21"/>
        <v>0</v>
      </c>
      <c r="Q71" s="113">
        <f t="shared" si="19"/>
        <v>281578.61375589238</v>
      </c>
      <c r="R71" s="113">
        <f t="shared" si="27"/>
        <v>0.3309529167921556</v>
      </c>
      <c r="S71" s="120">
        <f t="shared" si="22"/>
        <v>6.4891976095974666</v>
      </c>
      <c r="T71" s="121"/>
      <c r="U71" s="105"/>
      <c r="AT71" s="110"/>
      <c r="AU71" s="111" t="s">
        <v>37</v>
      </c>
      <c r="AV71" s="123">
        <f t="shared" si="23"/>
        <v>6.4891976095974666</v>
      </c>
      <c r="AW71" s="120">
        <f t="shared" si="24"/>
        <v>850811.69999999984</v>
      </c>
      <c r="AX71" s="2"/>
      <c r="AY71" s="2"/>
      <c r="BJ71" s="90" t="s">
        <v>3</v>
      </c>
      <c r="BK71" s="90" t="s">
        <v>22</v>
      </c>
      <c r="BL71" s="90" t="s">
        <v>10</v>
      </c>
    </row>
    <row r="72" spans="2:64" x14ac:dyDescent="0.25">
      <c r="B72" s="110"/>
      <c r="C72" s="111" t="s">
        <v>39</v>
      </c>
      <c r="D72" s="112">
        <f>[73]Folha1!$I$49</f>
        <v>64.082663371319256</v>
      </c>
      <c r="E72" s="113">
        <f>[73]Folha1!$Y$53</f>
        <v>874455.29999999981</v>
      </c>
      <c r="F72" s="113">
        <f t="shared" si="15"/>
        <v>43391.900000000009</v>
      </c>
      <c r="G72" s="112">
        <f t="shared" si="25"/>
        <v>1.476834694293618E-3</v>
      </c>
      <c r="H72" s="114">
        <f>'[6]Mensais 07-12 MOD''s'!K$54</f>
        <v>136852.02737624667</v>
      </c>
      <c r="I72" s="115">
        <f t="shared" si="28"/>
        <v>0.156499740325488</v>
      </c>
      <c r="J72" s="114">
        <f t="shared" si="26"/>
        <v>3.1538611440440874</v>
      </c>
      <c r="K72" s="116">
        <f>'[6]Mensais 07-12 MOD''s'!K$60</f>
        <v>155124.03013527708</v>
      </c>
      <c r="L72" s="117">
        <f t="shared" si="29"/>
        <v>0.17739503681351934</v>
      </c>
      <c r="M72" s="116">
        <f t="shared" si="20"/>
        <v>3.5749536234937178</v>
      </c>
      <c r="N72" s="118">
        <f>'[6]Mensais 07-12 MOD''s'!K$66</f>
        <v>0</v>
      </c>
      <c r="O72" s="119">
        <f t="shared" si="30"/>
        <v>0</v>
      </c>
      <c r="P72" s="118">
        <f t="shared" si="21"/>
        <v>0</v>
      </c>
      <c r="Q72" s="113">
        <f t="shared" si="19"/>
        <v>291976.05751152372</v>
      </c>
      <c r="R72" s="113">
        <f t="shared" si="27"/>
        <v>0.33389477713900728</v>
      </c>
      <c r="S72" s="120">
        <f t="shared" si="22"/>
        <v>6.7288147675378047</v>
      </c>
      <c r="T72" s="121"/>
      <c r="U72" s="105"/>
      <c r="AT72" s="110"/>
      <c r="AU72" s="111" t="s">
        <v>39</v>
      </c>
      <c r="AV72" s="123">
        <f t="shared" si="23"/>
        <v>6.7288147675378047</v>
      </c>
      <c r="AW72" s="120">
        <f t="shared" si="24"/>
        <v>874455.29999999981</v>
      </c>
      <c r="AX72" s="2"/>
      <c r="AY72" s="2"/>
      <c r="BJ72" s="90">
        <v>2007</v>
      </c>
      <c r="BK72" s="141">
        <f>AVERAGE(AW14:AW16)</f>
        <v>882389.99999999988</v>
      </c>
      <c r="BL72" s="141">
        <f>AVERAGE(AV14:AV16)</f>
        <v>6.5795918197834311</v>
      </c>
    </row>
    <row r="73" spans="2:64" x14ac:dyDescent="0.25">
      <c r="B73" s="110"/>
      <c r="C73" s="111" t="s">
        <v>41</v>
      </c>
      <c r="D73" s="112">
        <f>[74]Folha1!$I$49</f>
        <v>69.215803080794672</v>
      </c>
      <c r="E73" s="113">
        <f>[74]Folha1!$Y$53</f>
        <v>843151.4</v>
      </c>
      <c r="F73" s="113">
        <f t="shared" si="15"/>
        <v>43391.900000000009</v>
      </c>
      <c r="G73" s="112">
        <f t="shared" si="25"/>
        <v>1.5951318813141313E-3</v>
      </c>
      <c r="H73" s="114">
        <f>'[6]Mensais 07-12 MOD''s'!L$54</f>
        <v>134536.6344871365</v>
      </c>
      <c r="I73" s="115">
        <f t="shared" si="28"/>
        <v>0.15956402905473027</v>
      </c>
      <c r="J73" s="114">
        <f t="shared" si="26"/>
        <v>3.1005011185759663</v>
      </c>
      <c r="K73" s="116">
        <f>'[6]Mensais 07-12 MOD''s'!L$60</f>
        <v>159583.15679684366</v>
      </c>
      <c r="L73" s="117">
        <f t="shared" si="29"/>
        <v>0.18926987110125615</v>
      </c>
      <c r="M73" s="116">
        <f t="shared" si="20"/>
        <v>3.6777176569093224</v>
      </c>
      <c r="N73" s="118">
        <f>'[6]Mensais 07-12 MOD''s'!L$66</f>
        <v>0</v>
      </c>
      <c r="O73" s="119">
        <f t="shared" si="30"/>
        <v>0</v>
      </c>
      <c r="P73" s="118">
        <f t="shared" si="21"/>
        <v>0</v>
      </c>
      <c r="Q73" s="113">
        <f t="shared" si="19"/>
        <v>294119.79128398013</v>
      </c>
      <c r="R73" s="113">
        <f t="shared" si="27"/>
        <v>0.34883390015598637</v>
      </c>
      <c r="S73" s="120">
        <f t="shared" si="22"/>
        <v>6.7782187754852883</v>
      </c>
      <c r="T73" s="121"/>
      <c r="U73" s="105"/>
      <c r="AT73" s="110"/>
      <c r="AU73" s="111" t="s">
        <v>41</v>
      </c>
      <c r="AV73" s="123">
        <f t="shared" si="23"/>
        <v>6.7782187754852883</v>
      </c>
      <c r="AW73" s="120">
        <f t="shared" si="24"/>
        <v>843151.4</v>
      </c>
      <c r="AX73" s="2"/>
      <c r="AY73" s="2"/>
      <c r="BJ73" s="90">
        <v>2008</v>
      </c>
      <c r="BK73" s="142">
        <f>AVERAGE(AW26:AW28)</f>
        <v>897833.48333333305</v>
      </c>
      <c r="BL73" s="142">
        <f>AVERAGE(AV26:AV28)</f>
        <v>7.0384343154846549</v>
      </c>
    </row>
    <row r="74" spans="2:64" x14ac:dyDescent="0.25">
      <c r="B74" s="110"/>
      <c r="C74" s="111" t="s">
        <v>43</v>
      </c>
      <c r="D74" s="112">
        <f>[75]Folha1!$I$49</f>
        <v>69.440219030250788</v>
      </c>
      <c r="E74" s="113">
        <f>[75]Folha1!$Y$53</f>
        <v>878389.29999999981</v>
      </c>
      <c r="F74" s="113">
        <f t="shared" si="15"/>
        <v>43391.900000000009</v>
      </c>
      <c r="G74" s="112">
        <f t="shared" si="25"/>
        <v>1.600303720976744E-3</v>
      </c>
      <c r="H74" s="114">
        <f>'[6]Mensais 07-12 MOD''s'!M$54</f>
        <v>138139.03667900219</v>
      </c>
      <c r="I74" s="115">
        <f t="shared" si="28"/>
        <v>0.15726402482248159</v>
      </c>
      <c r="J74" s="114">
        <f t="shared" si="26"/>
        <v>3.1835212719194637</v>
      </c>
      <c r="K74" s="116">
        <f>'[6]Mensais 07-12 MOD''s'!M$60</f>
        <v>112365.37581356632</v>
      </c>
      <c r="L74" s="117">
        <f t="shared" si="29"/>
        <v>0.12792206805520781</v>
      </c>
      <c r="M74" s="116">
        <f t="shared" si="20"/>
        <v>2.589547261437418</v>
      </c>
      <c r="N74" s="118">
        <f>'[6]Mensais 07-12 MOD''s'!M$66</f>
        <v>11582.122297358012</v>
      </c>
      <c r="O74" s="119">
        <f t="shared" si="30"/>
        <v>1.3185636821120219E-2</v>
      </c>
      <c r="P74" s="118">
        <f t="shared" si="21"/>
        <v>0.26691899403709007</v>
      </c>
      <c r="Q74" s="113">
        <f t="shared" si="19"/>
        <v>262086.53478992652</v>
      </c>
      <c r="R74" s="113">
        <f t="shared" si="27"/>
        <v>0.2983717296988096</v>
      </c>
      <c r="S74" s="120">
        <f t="shared" si="22"/>
        <v>6.0399875273939712</v>
      </c>
      <c r="T74" s="121"/>
      <c r="U74" s="105"/>
      <c r="AT74" s="110"/>
      <c r="AU74" s="111" t="s">
        <v>43</v>
      </c>
      <c r="AV74" s="123">
        <f t="shared" si="23"/>
        <v>6.0399875273939712</v>
      </c>
      <c r="AW74" s="120">
        <f t="shared" si="24"/>
        <v>878389.29999999981</v>
      </c>
      <c r="AX74" s="2"/>
      <c r="AY74" s="2"/>
      <c r="BJ74" s="90">
        <v>2009</v>
      </c>
      <c r="BK74" s="142">
        <f>AVERAGE(AW38:AW40)</f>
        <v>896371.53333333321</v>
      </c>
      <c r="BL74" s="142">
        <f>AVERAGE(AV38:AV40)</f>
        <v>6.5928581264618309</v>
      </c>
    </row>
    <row r="75" spans="2:64" x14ac:dyDescent="0.25">
      <c r="B75" s="110"/>
      <c r="C75" s="111" t="s">
        <v>45</v>
      </c>
      <c r="D75" s="112">
        <f>[76]Folha1!$I$49</f>
        <v>70.10451895760221</v>
      </c>
      <c r="E75" s="113">
        <f>[76]Folha1!$Y$53</f>
        <v>889833.1399999999</v>
      </c>
      <c r="F75" s="113">
        <f t="shared" si="15"/>
        <v>43391.900000000009</v>
      </c>
      <c r="G75" s="112">
        <f t="shared" si="25"/>
        <v>1.6156130281827299E-3</v>
      </c>
      <c r="H75" s="114">
        <f>'[6]Mensais 07-12 MOD''s'!N$54</f>
        <v>155739.12646136878</v>
      </c>
      <c r="I75" s="115">
        <f t="shared" si="28"/>
        <v>0.17502059595281966</v>
      </c>
      <c r="J75" s="114">
        <f t="shared" si="26"/>
        <v>3.5891289955353129</v>
      </c>
      <c r="K75" s="116">
        <f>'[6]Mensais 07-12 MOD''s'!N$60</f>
        <v>89296.298693724122</v>
      </c>
      <c r="L75" s="117">
        <f t="shared" si="29"/>
        <v>0.1003517341394187</v>
      </c>
      <c r="M75" s="116">
        <f t="shared" si="20"/>
        <v>2.0579024816549656</v>
      </c>
      <c r="N75" s="118">
        <f>'[6]Mensais 07-12 MOD''s'!N$66</f>
        <v>95050</v>
      </c>
      <c r="O75" s="119">
        <f t="shared" si="30"/>
        <v>0.1068177793423158</v>
      </c>
      <c r="P75" s="118">
        <f t="shared" si="21"/>
        <v>2.1905009921206489</v>
      </c>
      <c r="Q75" s="113">
        <f t="shared" si="19"/>
        <v>340085.4251550929</v>
      </c>
      <c r="R75" s="113">
        <f t="shared" si="27"/>
        <v>0.38219010943455417</v>
      </c>
      <c r="S75" s="120">
        <f t="shared" si="22"/>
        <v>7.8375324693109274</v>
      </c>
      <c r="T75" s="121"/>
      <c r="U75" s="105"/>
      <c r="AT75" s="110"/>
      <c r="AU75" s="111" t="s">
        <v>45</v>
      </c>
      <c r="AV75" s="123">
        <f t="shared" si="23"/>
        <v>7.8375324693109274</v>
      </c>
      <c r="AW75" s="120">
        <f t="shared" si="24"/>
        <v>889833.1399999999</v>
      </c>
      <c r="AX75" s="2"/>
      <c r="AY75" s="2"/>
      <c r="BJ75" s="90">
        <v>2010</v>
      </c>
      <c r="BK75" s="142">
        <f>AVERAGE(AW50:AW52)</f>
        <v>872111.03333333321</v>
      </c>
      <c r="BL75" s="142">
        <f>AVERAGE(AV50:AV52)</f>
        <v>6.6187686572846687</v>
      </c>
    </row>
    <row r="76" spans="2:64" ht="15.75" thickBot="1" x14ac:dyDescent="0.3">
      <c r="B76" s="124"/>
      <c r="C76" s="125" t="s">
        <v>47</v>
      </c>
      <c r="D76" s="126">
        <f>[77]Folha1!$I$49</f>
        <v>68.503418542417606</v>
      </c>
      <c r="E76" s="127">
        <f>[77]Folha1!$Y$53</f>
        <v>860957.18999999983</v>
      </c>
      <c r="F76" s="127">
        <f t="shared" si="15"/>
        <v>43391.900000000009</v>
      </c>
      <c r="G76" s="126">
        <f t="shared" si="25"/>
        <v>1.5787144269418392E-3</v>
      </c>
      <c r="H76" s="128">
        <f>'[6]Mensais 07-12 MOD''s'!O$54</f>
        <v>134925.27196460578</v>
      </c>
      <c r="I76" s="129">
        <f t="shared" si="28"/>
        <v>0.15671542503130242</v>
      </c>
      <c r="J76" s="128">
        <f t="shared" si="26"/>
        <v>3.1094575707587304</v>
      </c>
      <c r="K76" s="130">
        <f>'[6]Mensais 07-12 MOD''s'!O$60</f>
        <v>39503.335890452938</v>
      </c>
      <c r="L76" s="131">
        <f t="shared" si="29"/>
        <v>4.5883043139988117E-2</v>
      </c>
      <c r="M76" s="130">
        <f t="shared" si="20"/>
        <v>0.91038502325210302</v>
      </c>
      <c r="N76" s="132">
        <f>'[6]Mensais 07-12 MOD''s'!O$66</f>
        <v>135612.40683544317</v>
      </c>
      <c r="O76" s="133">
        <f t="shared" si="30"/>
        <v>0.15751353076619662</v>
      </c>
      <c r="P76" s="132">
        <f t="shared" si="21"/>
        <v>3.1252931269532596</v>
      </c>
      <c r="Q76" s="127">
        <f t="shared" si="19"/>
        <v>310041.01469050185</v>
      </c>
      <c r="R76" s="127">
        <f t="shared" si="27"/>
        <v>0.36011199893748713</v>
      </c>
      <c r="S76" s="134">
        <f t="shared" si="22"/>
        <v>7.1451357209640918</v>
      </c>
      <c r="T76" s="121"/>
      <c r="U76" s="105"/>
      <c r="AT76" s="124"/>
      <c r="AU76" s="125" t="s">
        <v>47</v>
      </c>
      <c r="AV76" s="135">
        <f t="shared" si="23"/>
        <v>7.1451357209640918</v>
      </c>
      <c r="AW76" s="134">
        <f t="shared" si="24"/>
        <v>860957.18999999983</v>
      </c>
      <c r="AX76" s="2"/>
      <c r="AY76" s="2"/>
      <c r="BJ76" s="90">
        <v>2011</v>
      </c>
      <c r="BK76" s="142">
        <f>AVERAGE(AW62:AW64)</f>
        <v>866556.96666666644</v>
      </c>
      <c r="BL76" s="142">
        <f>AVERAGE(AV62:AV64)</f>
        <v>5.4218497145926747</v>
      </c>
    </row>
    <row r="77" spans="2:64" x14ac:dyDescent="0.25">
      <c r="AX77" s="2"/>
      <c r="AY77" s="2"/>
      <c r="BJ77" s="90">
        <v>2012</v>
      </c>
      <c r="BK77" s="142">
        <f>AVERAGE(AW74:AW76)</f>
        <v>876393.20999999985</v>
      </c>
      <c r="BL77" s="142">
        <f>AVERAGE(AV74:AV76)</f>
        <v>7.0075519058896631</v>
      </c>
    </row>
    <row r="78" spans="2:64" x14ac:dyDescent="0.25">
      <c r="C78" s="145" t="s">
        <v>49</v>
      </c>
      <c r="D78" s="146"/>
      <c r="E78" s="113">
        <f>MAX(E5:E76)</f>
        <v>982388.29999999981</v>
      </c>
      <c r="R78" s="146" t="s">
        <v>49</v>
      </c>
      <c r="S78" s="113">
        <f>MAX(S5:S76)</f>
        <v>10.328442703237853</v>
      </c>
      <c r="T78" s="121"/>
      <c r="U78" s="105"/>
      <c r="AX78" s="2"/>
      <c r="AY78" s="2"/>
    </row>
    <row r="79" spans="2:64" x14ac:dyDescent="0.25">
      <c r="C79" s="145" t="s">
        <v>50</v>
      </c>
      <c r="D79" s="146"/>
      <c r="E79" s="113">
        <f>MIN(E5:E76)</f>
        <v>746263.09999999974</v>
      </c>
      <c r="AX79" s="2"/>
      <c r="AY79" s="2"/>
    </row>
    <row r="80" spans="2:64" x14ac:dyDescent="0.25">
      <c r="AX80" s="2"/>
      <c r="AY80" s="2"/>
    </row>
    <row r="81" spans="50:64" x14ac:dyDescent="0.25">
      <c r="AX81" s="2"/>
      <c r="AY81" s="2"/>
    </row>
    <row r="82" spans="50:64" x14ac:dyDescent="0.25">
      <c r="AX82" s="2"/>
      <c r="AY82" s="2"/>
    </row>
    <row r="83" spans="50:64" x14ac:dyDescent="0.25">
      <c r="AX83" s="2"/>
      <c r="AY83" s="2"/>
    </row>
    <row r="84" spans="50:64" x14ac:dyDescent="0.25">
      <c r="AX84" s="2"/>
      <c r="AY84" s="2"/>
    </row>
    <row r="85" spans="50:64" x14ac:dyDescent="0.25">
      <c r="AX85" s="2"/>
      <c r="AY85" s="2"/>
    </row>
    <row r="86" spans="50:64" x14ac:dyDescent="0.25">
      <c r="AX86" s="2"/>
      <c r="AY86" s="2"/>
    </row>
    <row r="87" spans="50:64" x14ac:dyDescent="0.25">
      <c r="AX87" s="2"/>
      <c r="AY87" s="2"/>
    </row>
    <row r="88" spans="50:64" x14ac:dyDescent="0.25">
      <c r="AX88" s="2"/>
      <c r="AY88" s="2"/>
      <c r="BJ88" s="90"/>
      <c r="BK88" s="90"/>
      <c r="BL88" s="90"/>
    </row>
    <row r="89" spans="50:64" x14ac:dyDescent="0.25">
      <c r="AX89" s="2"/>
      <c r="AY89" s="2"/>
      <c r="BJ89" s="90"/>
      <c r="BK89" s="141"/>
      <c r="BL89" s="142"/>
    </row>
    <row r="90" spans="50:64" x14ac:dyDescent="0.25">
      <c r="AX90" s="2"/>
      <c r="AY90" s="2"/>
      <c r="BJ90" s="90"/>
      <c r="BK90" s="142"/>
      <c r="BL90" s="142"/>
    </row>
    <row r="91" spans="50:64" x14ac:dyDescent="0.25">
      <c r="AX91" s="2"/>
      <c r="AY91" s="2"/>
      <c r="BJ91" s="90"/>
      <c r="BK91" s="142"/>
      <c r="BL91" s="142"/>
    </row>
    <row r="92" spans="50:64" x14ac:dyDescent="0.25">
      <c r="AX92" s="2"/>
      <c r="AY92" s="2"/>
      <c r="BJ92" s="90"/>
      <c r="BK92" s="142"/>
      <c r="BL92" s="142"/>
    </row>
    <row r="93" spans="50:64" x14ac:dyDescent="0.25">
      <c r="AX93" s="2"/>
      <c r="AY93" s="2"/>
      <c r="BJ93" s="90"/>
      <c r="BK93" s="142"/>
      <c r="BL93" s="142"/>
    </row>
    <row r="94" spans="50:64" x14ac:dyDescent="0.25">
      <c r="AX94" s="2"/>
      <c r="AY94" s="2"/>
      <c r="BJ94" s="90"/>
      <c r="BK94" s="142"/>
      <c r="BL94" s="142"/>
    </row>
    <row r="95" spans="50:64" x14ac:dyDescent="0.25">
      <c r="AX95" s="2"/>
      <c r="AY95" s="2"/>
    </row>
    <row r="96" spans="50:64" x14ac:dyDescent="0.25">
      <c r="AX96" s="2"/>
      <c r="AY96" s="2"/>
    </row>
    <row r="97" spans="50:64" x14ac:dyDescent="0.25">
      <c r="AX97" s="2"/>
      <c r="AY97" s="2"/>
    </row>
    <row r="98" spans="50:64" x14ac:dyDescent="0.25">
      <c r="AX98" s="2"/>
      <c r="AY98" s="2"/>
    </row>
    <row r="99" spans="50:64" x14ac:dyDescent="0.25">
      <c r="AX99" s="2"/>
      <c r="AY99" s="2"/>
    </row>
    <row r="100" spans="50:64" x14ac:dyDescent="0.25">
      <c r="AX100" s="2"/>
      <c r="AY100" s="2"/>
    </row>
    <row r="101" spans="50:64" x14ac:dyDescent="0.25">
      <c r="AX101" s="2"/>
      <c r="AY101" s="2"/>
    </row>
    <row r="102" spans="50:64" x14ac:dyDescent="0.25">
      <c r="AX102" s="2"/>
      <c r="AY102" s="2"/>
    </row>
    <row r="103" spans="50:64" x14ac:dyDescent="0.25">
      <c r="AX103" s="2"/>
      <c r="AY103" s="2"/>
    </row>
    <row r="104" spans="50:64" x14ac:dyDescent="0.25">
      <c r="AX104" s="2"/>
      <c r="AY104" s="2"/>
    </row>
    <row r="105" spans="50:64" x14ac:dyDescent="0.25">
      <c r="AX105" s="2"/>
      <c r="AY105" s="2"/>
      <c r="BJ105" s="90"/>
      <c r="BK105" s="90"/>
      <c r="BL105" s="90"/>
    </row>
    <row r="106" spans="50:64" x14ac:dyDescent="0.25">
      <c r="AX106" s="2"/>
      <c r="AY106" s="2"/>
      <c r="BJ106" s="90"/>
      <c r="BK106" s="141"/>
      <c r="BL106" s="142"/>
    </row>
    <row r="107" spans="50:64" x14ac:dyDescent="0.25">
      <c r="AX107" s="2"/>
      <c r="AY107" s="2"/>
      <c r="BJ107" s="90"/>
      <c r="BK107" s="142"/>
      <c r="BL107" s="142"/>
    </row>
    <row r="108" spans="50:64" x14ac:dyDescent="0.25">
      <c r="AX108" s="2"/>
      <c r="AY108" s="2"/>
      <c r="BJ108" s="90"/>
      <c r="BK108" s="142"/>
      <c r="BL108" s="142"/>
    </row>
    <row r="109" spans="50:64" x14ac:dyDescent="0.25">
      <c r="AX109" s="2"/>
      <c r="AY109" s="2"/>
      <c r="BJ109" s="90"/>
      <c r="BK109" s="142"/>
      <c r="BL109" s="142"/>
    </row>
    <row r="110" spans="50:64" x14ac:dyDescent="0.25">
      <c r="AX110" s="2"/>
      <c r="AY110" s="2"/>
      <c r="BJ110" s="90"/>
      <c r="BK110" s="142"/>
      <c r="BL110" s="142"/>
    </row>
    <row r="111" spans="50:64" x14ac:dyDescent="0.25">
      <c r="AX111" s="2"/>
      <c r="AY111" s="2"/>
      <c r="BJ111" s="90"/>
      <c r="BK111" s="142"/>
      <c r="BL111" s="142"/>
    </row>
    <row r="112" spans="50:64" x14ac:dyDescent="0.25">
      <c r="AX112" s="2"/>
      <c r="AY112" s="2"/>
    </row>
    <row r="113" spans="50:64" x14ac:dyDescent="0.25">
      <c r="AX113" s="2"/>
      <c r="AY113" s="2"/>
    </row>
    <row r="114" spans="50:64" x14ac:dyDescent="0.25">
      <c r="AX114" s="2"/>
      <c r="AY114" s="2"/>
    </row>
    <row r="115" spans="50:64" x14ac:dyDescent="0.25">
      <c r="AX115" s="2"/>
      <c r="AY115" s="2"/>
    </row>
    <row r="116" spans="50:64" x14ac:dyDescent="0.25">
      <c r="AX116" s="2"/>
      <c r="AY116" s="2"/>
    </row>
    <row r="117" spans="50:64" x14ac:dyDescent="0.25">
      <c r="AX117" s="2"/>
      <c r="AY117" s="2"/>
    </row>
    <row r="118" spans="50:64" x14ac:dyDescent="0.25">
      <c r="AX118" s="2"/>
      <c r="AY118" s="2"/>
    </row>
    <row r="119" spans="50:64" x14ac:dyDescent="0.25">
      <c r="AX119" s="2"/>
      <c r="AY119" s="2"/>
    </row>
    <row r="120" spans="50:64" x14ac:dyDescent="0.25">
      <c r="AX120" s="2"/>
      <c r="AY120" s="2"/>
    </row>
    <row r="121" spans="50:64" x14ac:dyDescent="0.25">
      <c r="AX121" s="2"/>
      <c r="AY121" s="2"/>
    </row>
    <row r="122" spans="50:64" x14ac:dyDescent="0.25">
      <c r="AX122" s="2"/>
      <c r="AY122" s="2"/>
      <c r="BJ122" s="90"/>
      <c r="BK122" s="90"/>
      <c r="BL122" s="90"/>
    </row>
    <row r="123" spans="50:64" x14ac:dyDescent="0.25">
      <c r="AX123" s="2"/>
      <c r="AY123" s="2"/>
      <c r="BJ123" s="90"/>
      <c r="BK123" s="141"/>
      <c r="BL123" s="142"/>
    </row>
    <row r="124" spans="50:64" x14ac:dyDescent="0.25">
      <c r="AX124" s="2"/>
      <c r="AY124" s="2"/>
      <c r="BJ124" s="90"/>
      <c r="BK124" s="142"/>
      <c r="BL124" s="142"/>
    </row>
    <row r="125" spans="50:64" x14ac:dyDescent="0.25">
      <c r="AX125" s="2"/>
      <c r="AY125" s="2"/>
      <c r="BJ125" s="90"/>
      <c r="BK125" s="142"/>
      <c r="BL125" s="142"/>
    </row>
    <row r="126" spans="50:64" x14ac:dyDescent="0.25">
      <c r="AX126" s="2"/>
      <c r="AY126" s="2"/>
      <c r="BJ126" s="90"/>
      <c r="BK126" s="142"/>
      <c r="BL126" s="142"/>
    </row>
    <row r="127" spans="50:64" x14ac:dyDescent="0.25">
      <c r="AX127" s="2"/>
      <c r="AY127" s="2"/>
      <c r="BJ127" s="90"/>
      <c r="BK127" s="142"/>
      <c r="BL127" s="142"/>
    </row>
    <row r="128" spans="50:64" x14ac:dyDescent="0.25">
      <c r="AX128" s="2"/>
      <c r="AY128" s="2"/>
      <c r="BJ128" s="90"/>
      <c r="BK128" s="142"/>
      <c r="BL128" s="142"/>
    </row>
    <row r="129" spans="50:64" x14ac:dyDescent="0.25">
      <c r="AX129" s="2"/>
      <c r="AY129" s="2"/>
    </row>
    <row r="130" spans="50:64" x14ac:dyDescent="0.25">
      <c r="AX130" s="2"/>
      <c r="AY130" s="2"/>
    </row>
    <row r="131" spans="50:64" x14ac:dyDescent="0.25">
      <c r="AX131" s="2"/>
      <c r="AY131" s="2"/>
    </row>
    <row r="132" spans="50:64" x14ac:dyDescent="0.25">
      <c r="AX132" s="2"/>
      <c r="AY132" s="2"/>
    </row>
    <row r="133" spans="50:64" x14ac:dyDescent="0.25">
      <c r="AX133" s="2"/>
      <c r="AY133" s="2"/>
    </row>
    <row r="134" spans="50:64" x14ac:dyDescent="0.25">
      <c r="AX134" s="2"/>
      <c r="AY134" s="2"/>
    </row>
    <row r="135" spans="50:64" x14ac:dyDescent="0.25">
      <c r="AX135" s="2"/>
      <c r="AY135" s="2"/>
    </row>
    <row r="136" spans="50:64" x14ac:dyDescent="0.25">
      <c r="AX136" s="2"/>
      <c r="AY136" s="2"/>
    </row>
    <row r="137" spans="50:64" x14ac:dyDescent="0.25">
      <c r="AX137" s="2"/>
      <c r="AY137" s="2"/>
    </row>
    <row r="138" spans="50:64" x14ac:dyDescent="0.25">
      <c r="AX138" s="2"/>
      <c r="AY138" s="2"/>
    </row>
    <row r="139" spans="50:64" x14ac:dyDescent="0.25">
      <c r="AX139" s="2"/>
      <c r="AY139" s="2"/>
    </row>
    <row r="140" spans="50:64" x14ac:dyDescent="0.25">
      <c r="AX140" s="2"/>
      <c r="AY140" s="2"/>
      <c r="BJ140" s="147"/>
      <c r="BK140" s="147"/>
      <c r="BL140" s="147"/>
    </row>
    <row r="141" spans="50:64" x14ac:dyDescent="0.25">
      <c r="AX141" s="2"/>
      <c r="AY141" s="2"/>
      <c r="BJ141" s="147"/>
      <c r="BK141" s="141"/>
      <c r="BL141" s="141"/>
    </row>
    <row r="142" spans="50:64" x14ac:dyDescent="0.25">
      <c r="AX142" s="2"/>
      <c r="AY142" s="2"/>
      <c r="BJ142" s="147"/>
      <c r="BK142" s="141"/>
      <c r="BL142" s="141"/>
    </row>
    <row r="143" spans="50:64" x14ac:dyDescent="0.25">
      <c r="AX143" s="2"/>
      <c r="AY143" s="2"/>
      <c r="BJ143" s="147"/>
      <c r="BK143" s="141"/>
      <c r="BL143" s="141"/>
    </row>
    <row r="144" spans="50:64" x14ac:dyDescent="0.25">
      <c r="AX144" s="2"/>
      <c r="AY144" s="2"/>
      <c r="BJ144" s="147"/>
      <c r="BK144" s="141"/>
      <c r="BL144" s="141"/>
    </row>
    <row r="145" spans="50:64" x14ac:dyDescent="0.25">
      <c r="AX145" s="2"/>
      <c r="AY145" s="2"/>
      <c r="BJ145" s="147"/>
      <c r="BK145" s="141"/>
      <c r="BL145" s="141"/>
    </row>
    <row r="146" spans="50:64" x14ac:dyDescent="0.25">
      <c r="AX146" s="2"/>
      <c r="AY146" s="2"/>
      <c r="BJ146" s="147"/>
      <c r="BK146" s="141"/>
      <c r="BL146" s="141"/>
    </row>
    <row r="147" spans="50:64" x14ac:dyDescent="0.25">
      <c r="AX147" s="2"/>
      <c r="AY147" s="2"/>
    </row>
    <row r="148" spans="50:64" x14ac:dyDescent="0.25">
      <c r="AX148" s="2"/>
      <c r="AY148" s="2"/>
    </row>
    <row r="149" spans="50:64" x14ac:dyDescent="0.25">
      <c r="AX149" s="2"/>
      <c r="AY149" s="2"/>
    </row>
    <row r="150" spans="50:64" x14ac:dyDescent="0.25">
      <c r="AX150" s="2"/>
      <c r="AY150" s="2"/>
    </row>
    <row r="151" spans="50:64" x14ac:dyDescent="0.25">
      <c r="AX151" s="2"/>
      <c r="AY151" s="2"/>
    </row>
    <row r="152" spans="50:64" x14ac:dyDescent="0.25">
      <c r="AX152" s="2"/>
      <c r="AY152" s="2"/>
    </row>
    <row r="153" spans="50:64" x14ac:dyDescent="0.25">
      <c r="AX153" s="2"/>
      <c r="AY153" s="2"/>
    </row>
    <row r="154" spans="50:64" x14ac:dyDescent="0.25">
      <c r="AX154" s="2"/>
      <c r="AY154" s="2"/>
    </row>
    <row r="155" spans="50:64" x14ac:dyDescent="0.25">
      <c r="AX155" s="2"/>
      <c r="AY155" s="2"/>
    </row>
    <row r="156" spans="50:64" x14ac:dyDescent="0.25">
      <c r="AX156" s="2"/>
      <c r="AY156" s="2"/>
    </row>
    <row r="157" spans="50:64" x14ac:dyDescent="0.25">
      <c r="AX157" s="2"/>
      <c r="AY157" s="2"/>
      <c r="BJ157" s="147"/>
      <c r="BK157" s="147"/>
      <c r="BL157" s="147"/>
    </row>
    <row r="158" spans="50:64" x14ac:dyDescent="0.25">
      <c r="AX158" s="2"/>
      <c r="AY158" s="2"/>
      <c r="BJ158" s="147"/>
      <c r="BK158" s="141"/>
      <c r="BL158" s="141"/>
    </row>
    <row r="159" spans="50:64" x14ac:dyDescent="0.25">
      <c r="AX159" s="2"/>
      <c r="AY159" s="2"/>
      <c r="BJ159" s="147"/>
      <c r="BK159" s="141"/>
      <c r="BL159" s="141"/>
    </row>
    <row r="160" spans="50:64" x14ac:dyDescent="0.25">
      <c r="AX160" s="2"/>
      <c r="AY160" s="2"/>
      <c r="BJ160" s="147"/>
      <c r="BK160" s="141"/>
      <c r="BL160" s="141"/>
    </row>
    <row r="161" spans="50:64" x14ac:dyDescent="0.25">
      <c r="AX161" s="2"/>
      <c r="AY161" s="2"/>
      <c r="BJ161" s="147"/>
      <c r="BK161" s="141"/>
      <c r="BL161" s="141"/>
    </row>
    <row r="162" spans="50:64" x14ac:dyDescent="0.25">
      <c r="AX162" s="2"/>
      <c r="AY162" s="2"/>
      <c r="BJ162" s="147"/>
      <c r="BK162" s="141"/>
      <c r="BL162" s="141"/>
    </row>
    <row r="163" spans="50:64" x14ac:dyDescent="0.25">
      <c r="AX163" s="2"/>
      <c r="AY163" s="2"/>
      <c r="BJ163" s="147"/>
      <c r="BK163" s="141"/>
      <c r="BL163" s="141"/>
    </row>
    <row r="164" spans="50:64" x14ac:dyDescent="0.25">
      <c r="AX164" s="2"/>
      <c r="AY164" s="2"/>
    </row>
    <row r="165" spans="50:64" x14ac:dyDescent="0.25">
      <c r="AX165" s="2"/>
      <c r="AY165" s="2"/>
    </row>
    <row r="166" spans="50:64" x14ac:dyDescent="0.25">
      <c r="AX166" s="2"/>
      <c r="AY166" s="2"/>
    </row>
    <row r="167" spans="50:64" x14ac:dyDescent="0.25">
      <c r="AX167" s="2"/>
      <c r="AY167" s="2"/>
    </row>
    <row r="168" spans="50:64" x14ac:dyDescent="0.25">
      <c r="AX168" s="2"/>
      <c r="AY168" s="2"/>
    </row>
    <row r="169" spans="50:64" x14ac:dyDescent="0.25">
      <c r="AX169" s="2"/>
      <c r="AY169" s="2"/>
    </row>
    <row r="170" spans="50:64" x14ac:dyDescent="0.25">
      <c r="AX170" s="2"/>
      <c r="AY170" s="2"/>
    </row>
    <row r="171" spans="50:64" x14ac:dyDescent="0.25">
      <c r="AX171" s="2"/>
      <c r="AY171" s="2"/>
    </row>
    <row r="172" spans="50:64" x14ac:dyDescent="0.25">
      <c r="AX172" s="2"/>
      <c r="AY172" s="2"/>
    </row>
    <row r="173" spans="50:64" x14ac:dyDescent="0.25">
      <c r="AX173" s="2"/>
      <c r="AY173" s="2"/>
    </row>
    <row r="174" spans="50:64" x14ac:dyDescent="0.25">
      <c r="AX174" s="2"/>
      <c r="AY174" s="2"/>
      <c r="BJ174" s="147"/>
      <c r="BK174" s="147"/>
      <c r="BL174" s="147"/>
    </row>
    <row r="175" spans="50:64" x14ac:dyDescent="0.25">
      <c r="AX175" s="2"/>
      <c r="AY175" s="2"/>
      <c r="BJ175" s="147"/>
      <c r="BK175" s="141"/>
      <c r="BL175" s="141"/>
    </row>
    <row r="176" spans="50:64" x14ac:dyDescent="0.25">
      <c r="AX176" s="2"/>
      <c r="AY176" s="2"/>
      <c r="BJ176" s="147"/>
      <c r="BK176" s="141"/>
      <c r="BL176" s="141"/>
    </row>
    <row r="177" spans="50:64" x14ac:dyDescent="0.25">
      <c r="AX177" s="2"/>
      <c r="AY177" s="2"/>
      <c r="BJ177" s="147"/>
      <c r="BK177" s="141"/>
      <c r="BL177" s="141"/>
    </row>
    <row r="178" spans="50:64" x14ac:dyDescent="0.25">
      <c r="AX178" s="2"/>
      <c r="AY178" s="2"/>
      <c r="BJ178" s="147"/>
      <c r="BK178" s="141"/>
      <c r="BL178" s="141"/>
    </row>
    <row r="179" spans="50:64" x14ac:dyDescent="0.25">
      <c r="AX179" s="2"/>
      <c r="AY179" s="2"/>
      <c r="BJ179" s="147"/>
      <c r="BK179" s="141"/>
      <c r="BL179" s="141"/>
    </row>
    <row r="180" spans="50:64" x14ac:dyDescent="0.25">
      <c r="AX180" s="2"/>
      <c r="AY180" s="2"/>
      <c r="BJ180" s="147"/>
      <c r="BK180" s="141"/>
      <c r="BL180" s="141"/>
    </row>
    <row r="181" spans="50:64" x14ac:dyDescent="0.25">
      <c r="AX181" s="2"/>
      <c r="AY181" s="2"/>
    </row>
    <row r="182" spans="50:64" x14ac:dyDescent="0.25">
      <c r="AX182" s="2"/>
      <c r="AY182" s="2"/>
    </row>
    <row r="183" spans="50:64" x14ac:dyDescent="0.25">
      <c r="AX183" s="2"/>
      <c r="AY183" s="2"/>
    </row>
    <row r="184" spans="50:64" x14ac:dyDescent="0.25">
      <c r="AX184" s="2"/>
      <c r="AY184" s="2"/>
    </row>
    <row r="185" spans="50:64" x14ac:dyDescent="0.25">
      <c r="AX185" s="2"/>
      <c r="AY185" s="2"/>
    </row>
    <row r="186" spans="50:64" x14ac:dyDescent="0.25">
      <c r="AX186" s="2"/>
      <c r="AY186" s="2"/>
    </row>
    <row r="187" spans="50:64" x14ac:dyDescent="0.25">
      <c r="AX187" s="2"/>
      <c r="AY187" s="2"/>
    </row>
    <row r="188" spans="50:64" x14ac:dyDescent="0.25">
      <c r="AX188" s="2"/>
      <c r="AY188" s="2"/>
    </row>
    <row r="189" spans="50:64" x14ac:dyDescent="0.25">
      <c r="AX189" s="2"/>
      <c r="AY189" s="2"/>
    </row>
    <row r="190" spans="50:64" x14ac:dyDescent="0.25">
      <c r="AX190" s="2"/>
      <c r="AY190" s="2"/>
    </row>
    <row r="191" spans="50:64" x14ac:dyDescent="0.25">
      <c r="AX191" s="2"/>
      <c r="AY191" s="2"/>
      <c r="BJ191" s="147"/>
      <c r="BK191" s="147"/>
      <c r="BL191" s="147"/>
    </row>
    <row r="192" spans="50:64" x14ac:dyDescent="0.25">
      <c r="AX192" s="2"/>
      <c r="AY192" s="2"/>
      <c r="BJ192" s="147"/>
      <c r="BK192" s="141"/>
      <c r="BL192" s="141"/>
    </row>
    <row r="193" spans="50:64" x14ac:dyDescent="0.25">
      <c r="AX193" s="2"/>
      <c r="AY193" s="2"/>
      <c r="BJ193" s="147"/>
      <c r="BK193" s="141"/>
      <c r="BL193" s="141"/>
    </row>
    <row r="194" spans="50:64" x14ac:dyDescent="0.25">
      <c r="AX194" s="2"/>
      <c r="AY194" s="2"/>
      <c r="BJ194" s="147"/>
      <c r="BK194" s="141"/>
      <c r="BL194" s="141"/>
    </row>
    <row r="195" spans="50:64" x14ac:dyDescent="0.25">
      <c r="AX195" s="2"/>
      <c r="AY195" s="2"/>
      <c r="BJ195" s="147"/>
      <c r="BK195" s="141"/>
      <c r="BL195" s="141"/>
    </row>
    <row r="196" spans="50:64" x14ac:dyDescent="0.25">
      <c r="AX196" s="2"/>
      <c r="AY196" s="2"/>
      <c r="BJ196" s="147"/>
      <c r="BK196" s="141"/>
      <c r="BL196" s="141"/>
    </row>
    <row r="197" spans="50:64" x14ac:dyDescent="0.25">
      <c r="AX197" s="2"/>
      <c r="AY197" s="2"/>
      <c r="BJ197" s="147"/>
      <c r="BK197" s="141"/>
      <c r="BL197" s="141"/>
    </row>
    <row r="198" spans="50:64" x14ac:dyDescent="0.25">
      <c r="AX198" s="2"/>
      <c r="AY198" s="2"/>
    </row>
    <row r="199" spans="50:64" x14ac:dyDescent="0.25">
      <c r="AX199" s="2"/>
      <c r="AY199" s="2"/>
    </row>
    <row r="200" spans="50:64" x14ac:dyDescent="0.25">
      <c r="AX200" s="2"/>
      <c r="AY200" s="2"/>
    </row>
    <row r="201" spans="50:64" x14ac:dyDescent="0.25">
      <c r="AX201" s="2"/>
      <c r="AY201" s="2"/>
    </row>
    <row r="202" spans="50:64" x14ac:dyDescent="0.25">
      <c r="AX202" s="2"/>
      <c r="AY202" s="2"/>
    </row>
    <row r="203" spans="50:64" x14ac:dyDescent="0.25">
      <c r="AX203" s="2"/>
      <c r="AY203" s="2"/>
    </row>
    <row r="204" spans="50:64" x14ac:dyDescent="0.25">
      <c r="AX204" s="2"/>
      <c r="AY204" s="2"/>
    </row>
    <row r="205" spans="50:64" x14ac:dyDescent="0.25">
      <c r="AX205" s="2"/>
      <c r="AY205" s="2"/>
    </row>
    <row r="206" spans="50:64" x14ac:dyDescent="0.25">
      <c r="AX206" s="2"/>
      <c r="AY206" s="2"/>
    </row>
    <row r="207" spans="50:64" x14ac:dyDescent="0.25">
      <c r="AX207" s="2"/>
      <c r="AY207" s="2"/>
    </row>
    <row r="208" spans="50:64" x14ac:dyDescent="0.25">
      <c r="AX208" s="2"/>
      <c r="AY208" s="2"/>
      <c r="BJ208" s="147"/>
      <c r="BK208" s="147"/>
      <c r="BL208" s="147"/>
    </row>
    <row r="209" spans="50:64" x14ac:dyDescent="0.25">
      <c r="AX209" s="2"/>
      <c r="AY209" s="2"/>
      <c r="BJ209" s="147"/>
      <c r="BK209" s="141"/>
      <c r="BL209" s="141"/>
    </row>
    <row r="210" spans="50:64" x14ac:dyDescent="0.25">
      <c r="AX210" s="2"/>
      <c r="AY210" s="2"/>
      <c r="BJ210" s="147"/>
      <c r="BK210" s="141"/>
      <c r="BL210" s="141"/>
    </row>
    <row r="211" spans="50:64" x14ac:dyDescent="0.25">
      <c r="AX211" s="2"/>
      <c r="AY211" s="2"/>
      <c r="BJ211" s="147"/>
      <c r="BK211" s="141"/>
      <c r="BL211" s="141"/>
    </row>
    <row r="212" spans="50:64" x14ac:dyDescent="0.25">
      <c r="AX212" s="2"/>
      <c r="AY212" s="2"/>
      <c r="BJ212" s="147"/>
      <c r="BK212" s="141"/>
      <c r="BL212" s="141"/>
    </row>
    <row r="213" spans="50:64" x14ac:dyDescent="0.25">
      <c r="AX213" s="2"/>
      <c r="AY213" s="2"/>
      <c r="BJ213" s="147"/>
      <c r="BK213" s="141"/>
      <c r="BL213" s="141"/>
    </row>
    <row r="214" spans="50:64" x14ac:dyDescent="0.25">
      <c r="AX214" s="2"/>
      <c r="AY214" s="2"/>
      <c r="BJ214" s="147"/>
      <c r="BK214" s="141"/>
      <c r="BL214" s="141"/>
    </row>
    <row r="215" spans="50:64" x14ac:dyDescent="0.25">
      <c r="AX215" s="2"/>
      <c r="AY215" s="2"/>
    </row>
    <row r="216" spans="50:64" x14ac:dyDescent="0.25">
      <c r="AX216" s="2"/>
      <c r="AY216" s="2"/>
    </row>
    <row r="217" spans="50:64" x14ac:dyDescent="0.25">
      <c r="AX217" s="2"/>
      <c r="AY217" s="2"/>
    </row>
    <row r="218" spans="50:64" x14ac:dyDescent="0.25">
      <c r="AX218" s="2"/>
      <c r="AY218" s="2"/>
    </row>
    <row r="219" spans="50:64" x14ac:dyDescent="0.25">
      <c r="AX219" s="2"/>
      <c r="AY219" s="2"/>
    </row>
    <row r="220" spans="50:64" x14ac:dyDescent="0.25">
      <c r="AX220" s="2"/>
      <c r="AY220" s="2"/>
    </row>
    <row r="221" spans="50:64" x14ac:dyDescent="0.25">
      <c r="AX221" s="2"/>
      <c r="AY221" s="2"/>
    </row>
    <row r="222" spans="50:64" x14ac:dyDescent="0.25">
      <c r="AX222" s="2"/>
      <c r="AY222" s="2"/>
    </row>
  </sheetData>
  <sheetProtection password="A926" sheet="1" formatCells="0" formatColumns="0" formatRows="0" insertColumns="0" insertRows="0" insertHyperlinks="0" deleteColumns="0" deleteRows="0" sort="0" autoFilter="0" pivotTables="0"/>
  <mergeCells count="29">
    <mergeCell ref="W1:AD2"/>
    <mergeCell ref="AH1:AP2"/>
    <mergeCell ref="AT1:BP2"/>
    <mergeCell ref="B3:B4"/>
    <mergeCell ref="C3:C4"/>
    <mergeCell ref="D3:D4"/>
    <mergeCell ref="E3:E4"/>
    <mergeCell ref="F3:F4"/>
    <mergeCell ref="B17:B28"/>
    <mergeCell ref="AT17:AT28"/>
    <mergeCell ref="G3:G4"/>
    <mergeCell ref="H3:P3"/>
    <mergeCell ref="Q3:Q4"/>
    <mergeCell ref="R3:R4"/>
    <mergeCell ref="S3:S4"/>
    <mergeCell ref="AT3:AT4"/>
    <mergeCell ref="AU3:AU4"/>
    <mergeCell ref="AV3:AV4"/>
    <mergeCell ref="AW3:AW4"/>
    <mergeCell ref="B5:B16"/>
    <mergeCell ref="AT5:AT16"/>
    <mergeCell ref="B65:B76"/>
    <mergeCell ref="AT65:AT76"/>
    <mergeCell ref="B29:B40"/>
    <mergeCell ref="AT29:AT40"/>
    <mergeCell ref="B41:B52"/>
    <mergeCell ref="AT41:AT52"/>
    <mergeCell ref="B53:B64"/>
    <mergeCell ref="AT53:AT64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87"/>
  <sheetViews>
    <sheetView zoomScaleNormal="100" workbookViewId="0">
      <selection activeCell="J8" sqref="J8"/>
    </sheetView>
  </sheetViews>
  <sheetFormatPr defaultRowHeight="15" x14ac:dyDescent="0.25"/>
  <cols>
    <col min="1" max="10" width="9.140625" style="2"/>
    <col min="11" max="11" width="9.140625" style="59"/>
    <col min="12" max="21" width="9.140625" style="2"/>
    <col min="22" max="22" width="9.140625" style="59"/>
    <col min="23" max="32" width="9.140625" style="2"/>
    <col min="33" max="33" width="9.140625" style="59"/>
    <col min="34" max="16384" width="9.140625" style="2"/>
  </cols>
  <sheetData>
    <row r="1" spans="1:33" ht="15" customHeight="1" x14ac:dyDescent="0.25">
      <c r="M1" s="58" t="s">
        <v>63</v>
      </c>
      <c r="N1" s="58"/>
      <c r="O1" s="58"/>
      <c r="P1" s="58"/>
      <c r="Q1" s="58"/>
      <c r="R1" s="58"/>
      <c r="S1" s="58"/>
      <c r="T1" s="58"/>
      <c r="X1" s="58" t="s">
        <v>64</v>
      </c>
      <c r="Y1" s="58"/>
      <c r="Z1" s="58"/>
      <c r="AA1" s="58"/>
      <c r="AB1" s="58"/>
      <c r="AC1" s="58"/>
      <c r="AD1" s="58"/>
      <c r="AE1" s="58"/>
    </row>
    <row r="2" spans="1:33" ht="15" customHeight="1" x14ac:dyDescent="0.25">
      <c r="M2" s="58"/>
      <c r="N2" s="58"/>
      <c r="O2" s="58"/>
      <c r="P2" s="58"/>
      <c r="Q2" s="58"/>
      <c r="R2" s="58"/>
      <c r="S2" s="58"/>
      <c r="T2" s="58"/>
      <c r="X2" s="58"/>
      <c r="Y2" s="58"/>
      <c r="Z2" s="58"/>
      <c r="AA2" s="58"/>
      <c r="AB2" s="58"/>
      <c r="AC2" s="58"/>
      <c r="AD2" s="58"/>
      <c r="AE2" s="58"/>
    </row>
    <row r="4" spans="1:33" x14ac:dyDescent="0.25">
      <c r="B4" s="148" t="s">
        <v>65</v>
      </c>
      <c r="C4" s="148"/>
      <c r="D4" s="148"/>
      <c r="E4" s="148"/>
      <c r="F4" s="148"/>
      <c r="G4" s="148"/>
      <c r="H4" s="148"/>
      <c r="I4" s="148"/>
      <c r="K4" s="149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49"/>
      <c r="W4" s="150"/>
      <c r="X4" s="150"/>
      <c r="Y4" s="150"/>
      <c r="Z4" s="150"/>
      <c r="AA4" s="150"/>
      <c r="AB4" s="150"/>
      <c r="AC4" s="150"/>
      <c r="AD4" s="150"/>
      <c r="AF4" s="150"/>
      <c r="AG4" s="149"/>
    </row>
    <row r="5" spans="1:33" ht="15.75" thickBot="1" x14ac:dyDescent="0.3">
      <c r="B5" s="151" t="s">
        <v>66</v>
      </c>
      <c r="C5" s="151"/>
      <c r="D5" s="151"/>
      <c r="E5" s="151"/>
      <c r="F5" s="151"/>
      <c r="G5" s="151"/>
      <c r="H5" s="151"/>
      <c r="I5" s="151"/>
    </row>
    <row r="6" spans="1:33" x14ac:dyDescent="0.25">
      <c r="B6" s="152" t="s">
        <v>67</v>
      </c>
      <c r="C6" s="153"/>
      <c r="D6" s="153"/>
      <c r="E6" s="154"/>
      <c r="F6" s="152" t="s">
        <v>68</v>
      </c>
      <c r="G6" s="153"/>
      <c r="H6" s="153"/>
      <c r="I6" s="154"/>
      <c r="L6" s="54"/>
    </row>
    <row r="7" spans="1:33" ht="18" thickBot="1" x14ac:dyDescent="0.3">
      <c r="B7" s="155"/>
      <c r="C7" s="156" t="s">
        <v>4</v>
      </c>
      <c r="D7" s="157" t="s">
        <v>20</v>
      </c>
      <c r="E7" s="158" t="s">
        <v>21</v>
      </c>
      <c r="F7" s="159"/>
      <c r="G7" s="156" t="s">
        <v>4</v>
      </c>
      <c r="H7" s="160" t="s">
        <v>20</v>
      </c>
      <c r="I7" s="158" t="s">
        <v>21</v>
      </c>
      <c r="L7" s="54"/>
    </row>
    <row r="8" spans="1:33" ht="15" customHeight="1" x14ac:dyDescent="0.25">
      <c r="B8" s="161" t="s">
        <v>69</v>
      </c>
      <c r="C8" s="162" t="s">
        <v>25</v>
      </c>
      <c r="D8" s="163">
        <f>AVERAGE([6]Regressão_3!R5,[6]Regressão_3!R17)</f>
        <v>0.45994495337104135</v>
      </c>
      <c r="E8" s="164">
        <f>AVERAGE([6]Regressão_3!S5,[6]Regressão_3!S17)</f>
        <v>9.7007745395733771</v>
      </c>
      <c r="F8" s="161" t="s">
        <v>70</v>
      </c>
      <c r="G8" s="162" t="s">
        <v>25</v>
      </c>
      <c r="H8" s="163">
        <f>AVERAGE([6]Regressão_3!R29,[6]Regressão_3!R41,[6]Regressão_3!R53,[6]Regressão_3!R65)</f>
        <v>0.44278480519716906</v>
      </c>
      <c r="I8" s="165">
        <f>AVERAGE([6]Regressão_3!S29,[6]Regressão_3!S41,[6]Regressão_3!S53,[6]Regressão_3!S65)</f>
        <v>9.008723526855885</v>
      </c>
      <c r="L8" s="54"/>
    </row>
    <row r="9" spans="1:33" x14ac:dyDescent="0.25">
      <c r="A9" s="54"/>
      <c r="B9" s="166"/>
      <c r="C9" s="167" t="s">
        <v>28</v>
      </c>
      <c r="D9" s="168">
        <f>AVERAGE([6]Regressão_3!R6,[6]Regressão_3!R18)</f>
        <v>0.43639843883365947</v>
      </c>
      <c r="E9" s="104">
        <f>AVERAGE([6]Regressão_3!S6,[6]Regressão_3!S18)</f>
        <v>8.0124527107758414</v>
      </c>
      <c r="F9" s="166"/>
      <c r="G9" s="167" t="s">
        <v>28</v>
      </c>
      <c r="H9" s="168">
        <f>AVERAGE([6]Regressão_3!R30,[6]Regressão_3!R42,[6]Regressão_3!R54,[6]Regressão_3!R66)</f>
        <v>0.45544113249955981</v>
      </c>
      <c r="I9" s="169">
        <f>AVERAGE([6]Regressão_3!S30,[6]Regressão_3!S42,[6]Regressão_3!S54,[6]Regressão_3!S66)</f>
        <v>8.2963768898445203</v>
      </c>
      <c r="L9" s="54"/>
      <c r="W9" s="54"/>
    </row>
    <row r="10" spans="1:33" ht="15" customHeight="1" x14ac:dyDescent="0.25">
      <c r="A10" s="54"/>
      <c r="B10" s="166"/>
      <c r="C10" s="167" t="s">
        <v>30</v>
      </c>
      <c r="D10" s="168">
        <f>AVERAGE([6]Regressão_3!R7,[6]Regressão_3!R19)</f>
        <v>0.32499190739709433</v>
      </c>
      <c r="E10" s="104">
        <f>AVERAGE([6]Regressão_3!S7,[6]Regressão_3!S19)</f>
        <v>6.0879863695369032</v>
      </c>
      <c r="F10" s="166"/>
      <c r="G10" s="167" t="s">
        <v>30</v>
      </c>
      <c r="H10" s="168">
        <f>AVERAGE([6]Regressão_3!R31,[6]Regressão_3!R43,[6]Regressão_3!R55,[6]Regressão_3!R67)</f>
        <v>0.34546947201882156</v>
      </c>
      <c r="I10" s="169">
        <f>AVERAGE([6]Regressão_3!S31,[6]Regressão_3!S43,[6]Regressão_3!S55,[6]Regressão_3!S67)</f>
        <v>7.2826143502229064</v>
      </c>
      <c r="L10" s="54"/>
      <c r="W10" s="54"/>
    </row>
    <row r="11" spans="1:33" ht="15" customHeight="1" x14ac:dyDescent="0.25">
      <c r="A11" s="54"/>
      <c r="B11" s="166"/>
      <c r="C11" s="167" t="s">
        <v>32</v>
      </c>
      <c r="D11" s="168">
        <f>AVERAGE([6]Regressão_3!R8,[6]Regressão_3!R20)</f>
        <v>0.21132838704308421</v>
      </c>
      <c r="E11" s="104">
        <f>AVERAGE([6]Regressão_3!S8,[6]Regressão_3!S20)</f>
        <v>4.0044085476766362</v>
      </c>
      <c r="F11" s="166"/>
      <c r="G11" s="167" t="s">
        <v>32</v>
      </c>
      <c r="H11" s="168">
        <f>AVERAGE([6]Regressão_3!R32,[6]Regressão_3!R44,[6]Regressão_3!R56,[6]Regressão_3!R68)</f>
        <v>0.27850502276400502</v>
      </c>
      <c r="I11" s="169">
        <f>AVERAGE([6]Regressão_3!S32,[6]Regressão_3!S44,[6]Regressão_3!S56,[6]Regressão_3!S68)</f>
        <v>5.6971718320243827</v>
      </c>
      <c r="L11" s="54"/>
      <c r="W11" s="54"/>
    </row>
    <row r="12" spans="1:33" x14ac:dyDescent="0.25">
      <c r="A12" s="54"/>
      <c r="B12" s="166"/>
      <c r="C12" s="167" t="s">
        <v>34</v>
      </c>
      <c r="D12" s="168">
        <f>AVERAGE([6]Regressão_3!R9,[6]Regressão_3!R21)</f>
        <v>0.20776049375684766</v>
      </c>
      <c r="E12" s="104">
        <f>AVERAGE([6]Regressão_3!S9,[6]Regressão_3!S21)</f>
        <v>4.0727422251136671</v>
      </c>
      <c r="F12" s="166"/>
      <c r="G12" s="167" t="s">
        <v>34</v>
      </c>
      <c r="H12" s="168">
        <f>AVERAGE([6]Regressão_3!R33,[6]Regressão_3!R45,[6]Regressão_3!R57,[6]Regressão_3!R69)</f>
        <v>0.25467617674933041</v>
      </c>
      <c r="I12" s="169">
        <f>AVERAGE([6]Regressão_3!S33,[6]Regressão_3!S45,[6]Regressão_3!S57,[6]Regressão_3!S69)</f>
        <v>5.2128137124438974</v>
      </c>
      <c r="L12" s="54"/>
      <c r="W12" s="54"/>
    </row>
    <row r="13" spans="1:33" x14ac:dyDescent="0.25">
      <c r="A13" s="54"/>
      <c r="B13" s="166"/>
      <c r="C13" s="167" t="s">
        <v>36</v>
      </c>
      <c r="D13" s="168">
        <f>AVERAGE([6]Regressão_3!R10,[6]Regressão_3!R22)</f>
        <v>0.24641388639409817</v>
      </c>
      <c r="E13" s="104">
        <f>AVERAGE([6]Regressão_3!S10,[6]Regressão_3!S22)</f>
        <v>4.7434560104021184</v>
      </c>
      <c r="F13" s="166"/>
      <c r="G13" s="167" t="s">
        <v>36</v>
      </c>
      <c r="H13" s="168">
        <f>AVERAGE([6]Regressão_3!R34,[6]Regressão_3!R46,[6]Regressão_3!R58,[6]Regressão_3!R70)</f>
        <v>0.27971822343584074</v>
      </c>
      <c r="I13" s="169">
        <f>AVERAGE([6]Regressão_3!S34,[6]Regressão_3!S46,[6]Regressão_3!S58,[6]Regressão_3!S70)</f>
        <v>5.5167618285993303</v>
      </c>
      <c r="W13" s="54"/>
    </row>
    <row r="14" spans="1:33" x14ac:dyDescent="0.25">
      <c r="A14" s="54"/>
      <c r="B14" s="166"/>
      <c r="C14" s="167" t="s">
        <v>38</v>
      </c>
      <c r="D14" s="168">
        <f>AVERAGE([6]Regressão_3!R11,[6]Regressão_3!R23)</f>
        <v>0.27093867626308749</v>
      </c>
      <c r="E14" s="104">
        <f>AVERAGE([6]Regressão_3!S11,[6]Regressão_3!S23)</f>
        <v>5.8705160705300834</v>
      </c>
      <c r="F14" s="166"/>
      <c r="G14" s="167" t="s">
        <v>38</v>
      </c>
      <c r="H14" s="168">
        <f>AVERAGE([6]Regressão_3!R35,[6]Regressão_3!R47,[6]Regressão_3!R59,[6]Regressão_3!R71)</f>
        <v>0.30102624009064244</v>
      </c>
      <c r="I14" s="169">
        <f>AVERAGE([6]Regressão_3!S35,[6]Regressão_3!S47,[6]Regressão_3!S59,[6]Regressão_3!S71)</f>
        <v>6.314450174300223</v>
      </c>
      <c r="W14" s="54"/>
    </row>
    <row r="15" spans="1:33" x14ac:dyDescent="0.25">
      <c r="A15" s="54"/>
      <c r="B15" s="166"/>
      <c r="C15" s="167" t="s">
        <v>40</v>
      </c>
      <c r="D15" s="168">
        <f>AVERAGE([6]Regressão_3!R12,[6]Regressão_3!R24)</f>
        <v>0.28283897813077774</v>
      </c>
      <c r="E15" s="104">
        <f>AVERAGE([6]Regressão_3!S12,[6]Regressão_3!S24)</f>
        <v>6.1223192081233329</v>
      </c>
      <c r="F15" s="166"/>
      <c r="G15" s="167" t="s">
        <v>40</v>
      </c>
      <c r="H15" s="168">
        <f>AVERAGE([6]Regressão_3!R36,[6]Regressão_3!R48,[6]Regressão_3!R60,[6]Regressão_3!R72)</f>
        <v>0.30343552574195237</v>
      </c>
      <c r="I15" s="169">
        <f>AVERAGE([6]Regressão_3!S36,[6]Regressão_3!S48,[6]Regressão_3!S60,[6]Regressão_3!S72)</f>
        <v>6.2821620556106321</v>
      </c>
      <c r="W15" s="54"/>
    </row>
    <row r="16" spans="1:33" ht="15.75" thickBot="1" x14ac:dyDescent="0.3">
      <c r="A16" s="54"/>
      <c r="B16" s="170"/>
      <c r="C16" s="171" t="s">
        <v>42</v>
      </c>
      <c r="D16" s="172">
        <f>AVERAGE([6]Regressão_3!R13,[6]Regressão_3!R25)</f>
        <v>0.27042328837759799</v>
      </c>
      <c r="E16" s="173">
        <f>AVERAGE([6]Regressão_3!S13,[6]Regressão_3!S25)</f>
        <v>5.3772610641885059</v>
      </c>
      <c r="F16" s="170"/>
      <c r="G16" s="171" t="s">
        <v>42</v>
      </c>
      <c r="H16" s="172">
        <f>AVERAGE([6]Regressão_3!R37,[6]Regressão_3!R49,[6]Regressão_3!R61,[6]Regressão_3!R73)</f>
        <v>0.28304353269551774</v>
      </c>
      <c r="I16" s="174">
        <f>AVERAGE([6]Regressão_3!S37,[6]Regressão_3!S49,[6]Regressão_3!S61,[6]Regressão_3!S73)</f>
        <v>5.4838236136677736</v>
      </c>
      <c r="W16" s="54"/>
    </row>
    <row r="17" spans="1:23" x14ac:dyDescent="0.25">
      <c r="A17" s="54"/>
      <c r="B17" s="175" t="s">
        <v>58</v>
      </c>
      <c r="C17" s="162" t="s">
        <v>44</v>
      </c>
      <c r="D17" s="163">
        <f>AVERAGE([6]Regressão_3!R14)</f>
        <v>0.24417084383015694</v>
      </c>
      <c r="E17" s="165">
        <f>AVERAGE([6]Regressão_3!S14)</f>
        <v>4.6798022776651624</v>
      </c>
      <c r="F17" s="161" t="s">
        <v>71</v>
      </c>
      <c r="G17" s="162" t="s">
        <v>44</v>
      </c>
      <c r="H17" s="163">
        <f>AVERAGE([6]Regressão_3!R26,[6]Regressão_3!R38,[6]Regressão_3!R50,[6]Regressão_3!R62,[6]Regressão_3!R74)</f>
        <v>0.24708507958135151</v>
      </c>
      <c r="I17" s="165">
        <f>AVERAGE([6]Regressão_3!R26,[6]Regressão_3!S38,[6]Regressão_3!S50,[6]Regressão_3!S62,[6]Regressão_3!S74)</f>
        <v>4.1728727897866644</v>
      </c>
      <c r="W17" s="54"/>
    </row>
    <row r="18" spans="1:23" ht="15" customHeight="1" x14ac:dyDescent="0.25">
      <c r="A18" s="54"/>
      <c r="B18" s="176"/>
      <c r="C18" s="167" t="s">
        <v>46</v>
      </c>
      <c r="D18" s="168">
        <f>AVERAGE([6]Regressão_3!R15)</f>
        <v>0.30898404307967292</v>
      </c>
      <c r="E18" s="169">
        <f>AVERAGE([6]Regressão_3!S15)</f>
        <v>6.1222496589346544</v>
      </c>
      <c r="F18" s="166"/>
      <c r="G18" s="167" t="s">
        <v>46</v>
      </c>
      <c r="H18" s="168">
        <f>AVERAGE([6]Regressão_3!R27,[6]Regressão_3!R39,[6]Regressão_3!R51,[6]Regressão_3!R63,[6]Regressão_3!R75)</f>
        <v>0.31134965388344049</v>
      </c>
      <c r="I18" s="169">
        <f>AVERAGE([6]Regressão_3!R27,[6]Regressão_3!S39,[6]Regressão_3!S51,[6]Regressão_3!S63,[6]Regressão_3!S75)</f>
        <v>4.9413436270667201</v>
      </c>
      <c r="W18" s="54"/>
    </row>
    <row r="19" spans="1:23" ht="15.75" thickBot="1" x14ac:dyDescent="0.3">
      <c r="A19" s="54"/>
      <c r="B19" s="177"/>
      <c r="C19" s="171" t="s">
        <v>48</v>
      </c>
      <c r="D19" s="172">
        <f>AVERAGE([6]Regressão_3!R16)</f>
        <v>0.40573778543272587</v>
      </c>
      <c r="E19" s="174">
        <f>AVERAGE([6]Regressão_3!S16)</f>
        <v>8.9367235227504782</v>
      </c>
      <c r="F19" s="170"/>
      <c r="G19" s="171" t="s">
        <v>48</v>
      </c>
      <c r="H19" s="172">
        <f>AVERAGE([6]Regressão_3!R28,[6]Regressão_3!R40,[6]Regressão_3!R52,[6]Regressão_3!R64,[6]Regressão_3!R76)</f>
        <v>0.40464232436997216</v>
      </c>
      <c r="I19" s="174">
        <f>AVERAGE([6]Regressão_3!R28,[6]Regressão_3!S40,[6]Regressão_3!S52,[6]Regressão_3!S64,[6]Regressão_3!S76)</f>
        <v>6.4743551231912191</v>
      </c>
      <c r="W19" s="54"/>
    </row>
    <row r="20" spans="1:23" x14ac:dyDescent="0.25">
      <c r="A20" s="54"/>
      <c r="D20" s="54"/>
      <c r="W20" s="54"/>
    </row>
    <row r="21" spans="1:23" ht="15.75" thickBot="1" x14ac:dyDescent="0.3">
      <c r="A21" s="54"/>
      <c r="B21" s="151" t="s">
        <v>72</v>
      </c>
      <c r="C21" s="151"/>
      <c r="D21" s="151"/>
      <c r="E21" s="151"/>
      <c r="F21" s="151"/>
      <c r="G21" s="151"/>
      <c r="H21" s="151"/>
      <c r="I21" s="151"/>
      <c r="W21" s="54"/>
    </row>
    <row r="22" spans="1:23" x14ac:dyDescent="0.25">
      <c r="A22" s="54"/>
      <c r="B22" s="152" t="s">
        <v>67</v>
      </c>
      <c r="C22" s="153"/>
      <c r="D22" s="153"/>
      <c r="E22" s="154"/>
      <c r="F22" s="152" t="s">
        <v>68</v>
      </c>
      <c r="G22" s="153"/>
      <c r="H22" s="153"/>
      <c r="I22" s="154"/>
      <c r="W22" s="54"/>
    </row>
    <row r="23" spans="1:23" ht="18" thickBot="1" x14ac:dyDescent="0.3">
      <c r="A23" s="54"/>
      <c r="B23" s="178"/>
      <c r="C23" s="156" t="s">
        <v>4</v>
      </c>
      <c r="D23" s="157" t="s">
        <v>20</v>
      </c>
      <c r="E23" s="158" t="s">
        <v>21</v>
      </c>
      <c r="F23" s="159"/>
      <c r="G23" s="156" t="s">
        <v>4</v>
      </c>
      <c r="H23" s="157" t="s">
        <v>20</v>
      </c>
      <c r="I23" s="158" t="s">
        <v>21</v>
      </c>
      <c r="W23" s="54"/>
    </row>
    <row r="24" spans="1:23" ht="15" customHeight="1" x14ac:dyDescent="0.25">
      <c r="A24" s="54"/>
      <c r="B24" s="161" t="s">
        <v>69</v>
      </c>
      <c r="C24" s="162" t="s">
        <v>25</v>
      </c>
      <c r="D24" s="163">
        <f>AVERAGE([6]Regressão_3!I5,[6]Regressão_3!I17)</f>
        <v>0.17264566393350281</v>
      </c>
      <c r="E24" s="164">
        <f>AVERAGE([6]Regressão_3!J5,[6]Regressão_3!J17)</f>
        <v>3.64356569084838</v>
      </c>
      <c r="F24" s="161" t="s">
        <v>70</v>
      </c>
      <c r="G24" s="162" t="s">
        <v>25</v>
      </c>
      <c r="H24" s="163">
        <f>AVERAGE([6]Regressão_3!I29,[6]Regressão_3!I41,[6]Regressão_3!I53,[6]Regressão_3!I65)</f>
        <v>0.16162378595693636</v>
      </c>
      <c r="I24" s="165">
        <f>AVERAGE([6]Regressão_3!J29,[6]Regressão_3!J41,[6]Regressão_3!J53,[6]Regressão_3!J65)</f>
        <v>3.2845623350949578</v>
      </c>
      <c r="W24" s="54"/>
    </row>
    <row r="25" spans="1:23" x14ac:dyDescent="0.25">
      <c r="A25" s="54"/>
      <c r="B25" s="166"/>
      <c r="C25" s="167" t="s">
        <v>28</v>
      </c>
      <c r="D25" s="168">
        <f>AVERAGE([6]Regressão_3!I6,[6]Regressão_3!I18)</f>
        <v>0.15866368846047341</v>
      </c>
      <c r="E25" s="104">
        <f>AVERAGE([6]Regressão_3!J6,[6]Regressão_3!J18)</f>
        <v>2.9345829481047736</v>
      </c>
      <c r="F25" s="166"/>
      <c r="G25" s="167" t="s">
        <v>28</v>
      </c>
      <c r="H25" s="168">
        <f>AVERAGE([6]Regressão_3!I30,[6]Regressão_3!I42,[6]Regressão_3!I54,[6]Regressão_3!I66)</f>
        <v>0.16008052504739215</v>
      </c>
      <c r="I25" s="169">
        <f>AVERAGE([6]Regressão_3!J30,[6]Regressão_3!J42,[6]Regressão_3!J54,[6]Regressão_3!J66)</f>
        <v>2.9061500485715266</v>
      </c>
      <c r="L25" s="54"/>
      <c r="W25" s="54"/>
    </row>
    <row r="26" spans="1:23" ht="15" customHeight="1" x14ac:dyDescent="0.25">
      <c r="A26" s="54"/>
      <c r="B26" s="166"/>
      <c r="C26" s="167" t="s">
        <v>30</v>
      </c>
      <c r="D26" s="168">
        <f>AVERAGE([6]Regressão_3!I7,[6]Regressão_3!I19)</f>
        <v>0.15050293547983923</v>
      </c>
      <c r="E26" s="104">
        <f>AVERAGE([6]Regressão_3!J7,[6]Regressão_3!J19)</f>
        <v>2.8210829450101338</v>
      </c>
      <c r="F26" s="166"/>
      <c r="G26" s="167" t="s">
        <v>30</v>
      </c>
      <c r="H26" s="168">
        <f>AVERAGE([6]Regressão_3!I31,[6]Regressão_3!I43,[6]Regressão_3!I55,[6]Regressão_3!I67)</f>
        <v>0.15727981400233901</v>
      </c>
      <c r="I26" s="169">
        <f>AVERAGE([6]Regressão_3!J31,[6]Regressão_3!J43,[6]Regressão_3!J55,[6]Regressão_3!J67)</f>
        <v>3.3115970126457408</v>
      </c>
      <c r="L26" s="54"/>
      <c r="W26" s="54"/>
    </row>
    <row r="27" spans="1:23" x14ac:dyDescent="0.25">
      <c r="A27" s="54"/>
      <c r="B27" s="166"/>
      <c r="C27" s="167" t="s">
        <v>32</v>
      </c>
      <c r="D27" s="168">
        <f>AVERAGE([6]Regressão_3!I8,[6]Regressão_3!I20)</f>
        <v>0.13245333208586443</v>
      </c>
      <c r="E27" s="104">
        <f>AVERAGE([6]Regressão_3!J8,[6]Regressão_3!J20)</f>
        <v>2.5098495609393838</v>
      </c>
      <c r="F27" s="166"/>
      <c r="G27" s="167" t="s">
        <v>32</v>
      </c>
      <c r="H27" s="168">
        <f>AVERAGE([6]Regressão_3!I32,[6]Regressão_3!I44,[6]Regressão_3!I56,[6]Regressão_3!I68)</f>
        <v>0.14441146902158358</v>
      </c>
      <c r="I27" s="169">
        <f>AVERAGE([6]Regressão_3!J32,[6]Regressão_3!J44,[6]Regressão_3!J56,[6]Regressão_3!J68)</f>
        <v>2.9597196984997605</v>
      </c>
      <c r="L27" s="54"/>
      <c r="W27" s="54"/>
    </row>
    <row r="28" spans="1:23" x14ac:dyDescent="0.25">
      <c r="A28" s="54"/>
      <c r="B28" s="166"/>
      <c r="C28" s="167" t="s">
        <v>34</v>
      </c>
      <c r="D28" s="168">
        <f>AVERAGE([6]Regressão_3!I9,[6]Regressão_3!I21)</f>
        <v>0.14106119204316475</v>
      </c>
      <c r="E28" s="104">
        <f>AVERAGE([6]Regressão_3!J9,[6]Regressão_3!J21)</f>
        <v>2.7566444660096705</v>
      </c>
      <c r="F28" s="166"/>
      <c r="G28" s="167" t="s">
        <v>34</v>
      </c>
      <c r="H28" s="168">
        <f>AVERAGE([6]Regressão_3!I33,[6]Regressão_3!I45,[6]Regressão_3!I57,[6]Regressão_3!I69)</f>
        <v>0.14406066221991709</v>
      </c>
      <c r="I28" s="169">
        <f>AVERAGE([6]Regressão_3!J33,[6]Regressão_3!J45,[6]Regressão_3!J57,[6]Regressão_3!J69)</f>
        <v>2.948827524059134</v>
      </c>
      <c r="L28" s="54"/>
      <c r="W28" s="54"/>
    </row>
    <row r="29" spans="1:23" x14ac:dyDescent="0.25">
      <c r="A29" s="54"/>
      <c r="B29" s="166"/>
      <c r="C29" s="167" t="s">
        <v>36</v>
      </c>
      <c r="D29" s="168">
        <f>AVERAGE([6]Regressão_3!I10,[6]Regressão_3!I22)</f>
        <v>0.14398996083451535</v>
      </c>
      <c r="E29" s="104">
        <f>AVERAGE([6]Regressão_3!J10,[6]Regressão_3!J22)</f>
        <v>2.7575823079599715</v>
      </c>
      <c r="F29" s="166"/>
      <c r="G29" s="167" t="s">
        <v>36</v>
      </c>
      <c r="H29" s="168">
        <f>AVERAGE([6]Regressão_3!I34,[6]Regressão_3!I46,[6]Regressão_3!I58,[6]Regressão_3!I70)</f>
        <v>0.14565988762882615</v>
      </c>
      <c r="I29" s="169">
        <f>AVERAGE([6]Regressão_3!J34,[6]Regressão_3!J46,[6]Regressão_3!J58,[6]Regressão_3!J70)</f>
        <v>2.8692888889586747</v>
      </c>
      <c r="L29" s="54"/>
      <c r="W29" s="54"/>
    </row>
    <row r="30" spans="1:23" x14ac:dyDescent="0.25">
      <c r="A30" s="54"/>
      <c r="B30" s="166"/>
      <c r="C30" s="167" t="s">
        <v>38</v>
      </c>
      <c r="D30" s="168">
        <f>AVERAGE([6]Regressão_3!I11,[6]Regressão_3!I23)</f>
        <v>0.14134075701060478</v>
      </c>
      <c r="E30" s="104">
        <f>AVERAGE([6]Regressão_3!J11,[6]Regressão_3!J23)</f>
        <v>3.0622688999491534</v>
      </c>
      <c r="F30" s="166"/>
      <c r="G30" s="167" t="s">
        <v>38</v>
      </c>
      <c r="H30" s="168">
        <f>AVERAGE([6]Regressão_3!I35,[6]Regressão_3!I47,[6]Regressão_3!I59,[6]Regressão_3!I71)</f>
        <v>0.14601744946648754</v>
      </c>
      <c r="I30" s="169">
        <f>AVERAGE([6]Regressão_3!J35,[6]Regressão_3!J47,[6]Regressão_3!J59,[6]Regressão_3!J71)</f>
        <v>3.0720272660698829</v>
      </c>
      <c r="L30" s="54"/>
      <c r="W30" s="54"/>
    </row>
    <row r="31" spans="1:23" x14ac:dyDescent="0.25">
      <c r="A31" s="54"/>
      <c r="B31" s="166"/>
      <c r="C31" s="167" t="s">
        <v>40</v>
      </c>
      <c r="D31" s="168">
        <f>AVERAGE([6]Regressão_3!I12,[6]Regressão_3!I24)</f>
        <v>0.14408601853048419</v>
      </c>
      <c r="E31" s="104">
        <f>AVERAGE([6]Regressão_3!J12,[6]Regressão_3!J24)</f>
        <v>3.1146013826067307</v>
      </c>
      <c r="F31" s="166"/>
      <c r="G31" s="167" t="s">
        <v>40</v>
      </c>
      <c r="H31" s="168">
        <f>AVERAGE([6]Regressão_3!I36,[6]Regressão_3!I48,[6]Regressão_3!I60,[6]Regressão_3!I72)</f>
        <v>0.15165344207307577</v>
      </c>
      <c r="I31" s="169">
        <f>AVERAGE([6]Regressão_3!J36,[6]Regressão_3!J48,[6]Regressão_3!J60,[6]Regressão_3!J72)</f>
        <v>3.1385675026117963</v>
      </c>
      <c r="L31" s="54"/>
      <c r="W31" s="54"/>
    </row>
    <row r="32" spans="1:23" ht="15.75" thickBot="1" x14ac:dyDescent="0.3">
      <c r="A32" s="54"/>
      <c r="B32" s="166"/>
      <c r="C32" s="167" t="s">
        <v>42</v>
      </c>
      <c r="D32" s="168">
        <f>AVERAGE([6]Regressão_3!I13,[6]Regressão_3!I25)</f>
        <v>0.14082219189761289</v>
      </c>
      <c r="E32" s="104">
        <f>AVERAGE([6]Regressão_3!J13,[6]Regressão_3!J25)</f>
        <v>2.8012579325306755</v>
      </c>
      <c r="F32" s="170"/>
      <c r="G32" s="171" t="s">
        <v>42</v>
      </c>
      <c r="H32" s="172">
        <f>AVERAGE([6]Regressão_3!I37,[6]Regressão_3!I49,[6]Regressão_3!I61,[6]Regressão_3!I73)</f>
        <v>0.15202783953781215</v>
      </c>
      <c r="I32" s="174">
        <f>AVERAGE([6]Regressão_3!J37,[6]Regressão_3!J49,[6]Regressão_3!J61,[6]Regressão_3!J73)</f>
        <v>2.9444458279024839</v>
      </c>
      <c r="W32" s="54"/>
    </row>
    <row r="33" spans="1:23" x14ac:dyDescent="0.25">
      <c r="A33" s="54"/>
      <c r="B33" s="175" t="s">
        <v>58</v>
      </c>
      <c r="C33" s="162" t="s">
        <v>44</v>
      </c>
      <c r="D33" s="163">
        <f>AVERAGE([6]Regressão_3!I14)</f>
        <v>0.15373003093617146</v>
      </c>
      <c r="E33" s="164">
        <f>AVERAGE([6]Regressão_3!J14)</f>
        <v>2.9464048108096703</v>
      </c>
      <c r="F33" s="161" t="s">
        <v>71</v>
      </c>
      <c r="G33" s="162" t="s">
        <v>44</v>
      </c>
      <c r="H33" s="163">
        <f>AVERAGE([6]Regressão_3!I26,[6]Regressão_3!I38,[6]Regressão_3!I50,[6]Regressão_3!I62,[6]Regressão_3!I74)</f>
        <v>0.14926688532435228</v>
      </c>
      <c r="I33" s="165">
        <f>AVERAGE([6]Regressão_3!J26,[6]Regressão_3!J38,[6]Regressão_3!J50,[6]Regressão_3!J62,[6]Regressão_3!J74)</f>
        <v>3.0551817481751025</v>
      </c>
      <c r="W33" s="54"/>
    </row>
    <row r="34" spans="1:23" ht="15" customHeight="1" x14ac:dyDescent="0.25">
      <c r="A34" s="54"/>
      <c r="B34" s="176"/>
      <c r="C34" s="167" t="s">
        <v>46</v>
      </c>
      <c r="D34" s="168">
        <f>AVERAGE([6]Regressão_3!I15)</f>
        <v>0.16806938948313502</v>
      </c>
      <c r="E34" s="104">
        <f>AVERAGE([6]Regressão_3!J15)</f>
        <v>3.3301485480761746</v>
      </c>
      <c r="F34" s="166"/>
      <c r="G34" s="167" t="s">
        <v>46</v>
      </c>
      <c r="H34" s="168">
        <f>AVERAGE([6]Regressão_3!I27,[6]Regressão_3!I39,[6]Regressão_3!I51,[6]Regressão_3!I63,[6]Regressão_3!I75)</f>
        <v>0.15448873865614515</v>
      </c>
      <c r="I34" s="169">
        <f>AVERAGE([6]Regressão_3!J27,[6]Regressão_3!J39,[6]Regressão_3!J51,[6]Regressão_3!J63,[6]Regressão_3!J75)</f>
        <v>3.0849432944631476</v>
      </c>
      <c r="W34" s="54"/>
    </row>
    <row r="35" spans="1:23" ht="15.75" thickBot="1" x14ac:dyDescent="0.3">
      <c r="A35" s="54"/>
      <c r="B35" s="177"/>
      <c r="C35" s="171" t="s">
        <v>48</v>
      </c>
      <c r="D35" s="172">
        <f>AVERAGE([6]Regressão_3!I16)</f>
        <v>0.17046115455388591</v>
      </c>
      <c r="E35" s="173">
        <f>AVERAGE([6]Regressão_3!J16)</f>
        <v>3.7545534685467477</v>
      </c>
      <c r="F35" s="170"/>
      <c r="G35" s="171" t="s">
        <v>48</v>
      </c>
      <c r="H35" s="172">
        <f>AVERAGE([6]Regressão_3!I28,[6]Regressão_3!I40,[6]Regressão_3!I52,[6]Regressão_3!I64,[6]Regressão_3!I76)</f>
        <v>0.15748458850471442</v>
      </c>
      <c r="I35" s="174">
        <f>AVERAGE([6]Regressão_3!J28,[6]Regressão_3!J40,[6]Regressão_3!J52,[6]Regressão_3!J64,[6]Regressão_3!J76)</f>
        <v>3.2340503594445047</v>
      </c>
      <c r="W35" s="54"/>
    </row>
    <row r="36" spans="1:23" x14ac:dyDescent="0.25">
      <c r="A36" s="144"/>
      <c r="B36" s="26"/>
      <c r="C36" s="26"/>
      <c r="D36" s="26"/>
      <c r="E36" s="26"/>
      <c r="F36" s="26"/>
      <c r="G36" s="26"/>
      <c r="H36" s="26"/>
      <c r="I36" s="26"/>
      <c r="J36" s="26"/>
      <c r="W36" s="54"/>
    </row>
    <row r="37" spans="1:23" ht="15.75" customHeight="1" x14ac:dyDescent="0.25">
      <c r="A37" s="144"/>
      <c r="B37" s="179"/>
      <c r="C37" s="179"/>
      <c r="D37" s="179"/>
      <c r="E37" s="179"/>
      <c r="F37" s="179"/>
      <c r="G37" s="179"/>
      <c r="H37" s="179"/>
      <c r="I37" s="179"/>
      <c r="J37" s="144"/>
      <c r="W37" s="54"/>
    </row>
    <row r="38" spans="1:23" x14ac:dyDescent="0.25">
      <c r="A38" s="144"/>
      <c r="B38" s="180"/>
      <c r="C38" s="180"/>
      <c r="D38" s="180"/>
      <c r="E38" s="180"/>
      <c r="F38" s="180"/>
      <c r="G38" s="180"/>
      <c r="H38" s="180"/>
      <c r="I38" s="180"/>
      <c r="J38" s="144"/>
      <c r="W38" s="54"/>
    </row>
    <row r="39" spans="1:23" x14ac:dyDescent="0.25">
      <c r="A39" s="144"/>
      <c r="B39" s="144"/>
      <c r="C39" s="167"/>
      <c r="D39" s="157"/>
      <c r="E39" s="167"/>
      <c r="F39" s="167"/>
      <c r="G39" s="167"/>
      <c r="H39" s="157"/>
      <c r="I39" s="167"/>
      <c r="J39" s="144"/>
      <c r="W39" s="54"/>
    </row>
    <row r="40" spans="1:23" ht="15" customHeight="1" x14ac:dyDescent="0.25">
      <c r="A40" s="144"/>
      <c r="B40" s="181"/>
      <c r="C40" s="167"/>
      <c r="D40" s="168"/>
      <c r="E40" s="104"/>
      <c r="F40" s="181"/>
      <c r="G40" s="167"/>
      <c r="H40" s="168"/>
      <c r="I40" s="104"/>
      <c r="J40" s="144"/>
      <c r="W40" s="54"/>
    </row>
    <row r="41" spans="1:23" ht="15.75" customHeight="1" x14ac:dyDescent="0.25">
      <c r="A41" s="144"/>
      <c r="B41" s="181"/>
      <c r="C41" s="167"/>
      <c r="D41" s="168"/>
      <c r="E41" s="104"/>
      <c r="F41" s="182"/>
      <c r="G41" s="167"/>
      <c r="H41" s="168"/>
      <c r="I41" s="104"/>
      <c r="J41" s="144"/>
      <c r="W41" s="54"/>
    </row>
    <row r="42" spans="1:23" ht="15" customHeight="1" x14ac:dyDescent="0.25">
      <c r="A42" s="144"/>
      <c r="B42" s="183"/>
      <c r="C42" s="167"/>
      <c r="D42" s="168"/>
      <c r="E42" s="104"/>
      <c r="F42" s="181"/>
      <c r="G42" s="167"/>
      <c r="H42" s="168"/>
      <c r="I42" s="104"/>
      <c r="J42" s="144"/>
      <c r="W42" s="54"/>
    </row>
    <row r="43" spans="1:23" x14ac:dyDescent="0.25">
      <c r="A43" s="144"/>
      <c r="B43" s="183"/>
      <c r="C43" s="167"/>
      <c r="D43" s="168"/>
      <c r="E43" s="104"/>
      <c r="F43" s="181"/>
      <c r="G43" s="167"/>
      <c r="H43" s="168"/>
      <c r="I43" s="104"/>
      <c r="J43" s="144"/>
      <c r="L43" s="54"/>
      <c r="W43" s="54"/>
    </row>
    <row r="44" spans="1:23" x14ac:dyDescent="0.25">
      <c r="A44" s="144"/>
      <c r="B44" s="183"/>
      <c r="C44" s="167"/>
      <c r="D44" s="168"/>
      <c r="E44" s="104"/>
      <c r="F44" s="181"/>
      <c r="G44" s="167"/>
      <c r="H44" s="168"/>
      <c r="I44" s="104"/>
      <c r="J44" s="144"/>
      <c r="L44" s="54"/>
      <c r="W44" s="54"/>
    </row>
    <row r="45" spans="1:23" x14ac:dyDescent="0.25">
      <c r="A45" s="144"/>
      <c r="B45" s="183"/>
      <c r="C45" s="167"/>
      <c r="D45" s="168"/>
      <c r="E45" s="104"/>
      <c r="F45" s="181"/>
      <c r="G45" s="167"/>
      <c r="H45" s="168"/>
      <c r="I45" s="104"/>
      <c r="J45" s="144"/>
      <c r="L45" s="54"/>
      <c r="W45" s="54"/>
    </row>
    <row r="46" spans="1:23" x14ac:dyDescent="0.25">
      <c r="A46" s="144"/>
      <c r="B46" s="183"/>
      <c r="C46" s="167"/>
      <c r="D46" s="168"/>
      <c r="E46" s="104"/>
      <c r="F46" s="181"/>
      <c r="G46" s="167"/>
      <c r="H46" s="168"/>
      <c r="I46" s="104"/>
      <c r="J46" s="144"/>
      <c r="L46" s="54"/>
      <c r="W46" s="54"/>
    </row>
    <row r="47" spans="1:23" x14ac:dyDescent="0.25">
      <c r="A47" s="144"/>
      <c r="B47" s="183"/>
      <c r="C47" s="167"/>
      <c r="D47" s="168"/>
      <c r="E47" s="104"/>
      <c r="F47" s="181"/>
      <c r="G47" s="167"/>
      <c r="H47" s="168"/>
      <c r="I47" s="104"/>
      <c r="J47" s="144"/>
      <c r="L47" s="54"/>
      <c r="W47" s="54"/>
    </row>
    <row r="48" spans="1:23" x14ac:dyDescent="0.25">
      <c r="A48" s="144"/>
      <c r="B48" s="183"/>
      <c r="C48" s="167"/>
      <c r="D48" s="168"/>
      <c r="E48" s="104"/>
      <c r="F48" s="181"/>
      <c r="G48" s="167"/>
      <c r="H48" s="168"/>
      <c r="I48" s="104"/>
      <c r="J48" s="144"/>
      <c r="L48" s="54"/>
      <c r="W48" s="54"/>
    </row>
    <row r="49" spans="1:23" x14ac:dyDescent="0.25">
      <c r="A49" s="144"/>
      <c r="B49" s="183"/>
      <c r="C49" s="167"/>
      <c r="D49" s="168"/>
      <c r="E49" s="104"/>
      <c r="F49" s="181"/>
      <c r="G49" s="167"/>
      <c r="H49" s="168"/>
      <c r="I49" s="104"/>
      <c r="J49" s="144"/>
      <c r="L49" s="54"/>
      <c r="W49" s="54"/>
    </row>
    <row r="50" spans="1:23" x14ac:dyDescent="0.25">
      <c r="A50" s="144"/>
      <c r="B50" s="183"/>
      <c r="C50" s="167"/>
      <c r="D50" s="168"/>
      <c r="E50" s="104"/>
      <c r="F50" s="181"/>
      <c r="G50" s="167"/>
      <c r="H50" s="168"/>
      <c r="I50" s="104"/>
      <c r="J50" s="144"/>
      <c r="L50" s="54"/>
    </row>
    <row r="51" spans="1:23" x14ac:dyDescent="0.25">
      <c r="A51" s="144"/>
      <c r="B51" s="183"/>
      <c r="C51" s="167"/>
      <c r="D51" s="168"/>
      <c r="E51" s="104"/>
      <c r="F51" s="181"/>
      <c r="G51" s="167"/>
      <c r="H51" s="168"/>
      <c r="I51" s="104"/>
      <c r="J51" s="144"/>
      <c r="L51" s="54"/>
    </row>
    <row r="52" spans="1:23" x14ac:dyDescent="0.25">
      <c r="A52" s="144"/>
      <c r="B52" s="144"/>
      <c r="C52" s="144"/>
      <c r="D52" s="144"/>
      <c r="E52" s="144"/>
      <c r="F52" s="144"/>
      <c r="G52" s="144"/>
      <c r="H52" s="144"/>
      <c r="I52" s="144"/>
      <c r="J52" s="144"/>
    </row>
    <row r="53" spans="1:23" x14ac:dyDescent="0.25">
      <c r="A53" s="144"/>
      <c r="B53" s="179"/>
      <c r="C53" s="179"/>
      <c r="D53" s="179"/>
      <c r="E53" s="179"/>
      <c r="F53" s="179"/>
      <c r="G53" s="179"/>
      <c r="H53" s="179"/>
      <c r="I53" s="179"/>
      <c r="J53" s="144"/>
    </row>
    <row r="54" spans="1:23" x14ac:dyDescent="0.25">
      <c r="A54" s="144"/>
      <c r="B54" s="180"/>
      <c r="C54" s="180"/>
      <c r="D54" s="180"/>
      <c r="E54" s="180"/>
      <c r="F54" s="180"/>
      <c r="G54" s="180"/>
      <c r="H54" s="180"/>
      <c r="I54" s="180"/>
      <c r="J54" s="144"/>
    </row>
    <row r="55" spans="1:23" x14ac:dyDescent="0.25">
      <c r="A55" s="144"/>
      <c r="B55" s="144"/>
      <c r="C55" s="167"/>
      <c r="D55" s="157"/>
      <c r="E55" s="167"/>
      <c r="F55" s="167"/>
      <c r="G55" s="167"/>
      <c r="H55" s="157"/>
      <c r="I55" s="167"/>
      <c r="J55" s="144"/>
    </row>
    <row r="56" spans="1:23" x14ac:dyDescent="0.25">
      <c r="A56" s="144"/>
      <c r="B56" s="181"/>
      <c r="C56" s="167"/>
      <c r="D56" s="168"/>
      <c r="E56" s="104"/>
      <c r="F56" s="181"/>
      <c r="G56" s="167"/>
      <c r="H56" s="168"/>
      <c r="I56" s="104"/>
      <c r="J56" s="144"/>
    </row>
    <row r="57" spans="1:23" x14ac:dyDescent="0.25">
      <c r="A57" s="144"/>
      <c r="B57" s="181"/>
      <c r="C57" s="167"/>
      <c r="D57" s="168"/>
      <c r="E57" s="104"/>
      <c r="F57" s="182"/>
      <c r="G57" s="167"/>
      <c r="H57" s="168"/>
      <c r="I57" s="104"/>
      <c r="J57" s="144"/>
    </row>
    <row r="58" spans="1:23" x14ac:dyDescent="0.25">
      <c r="A58" s="144"/>
      <c r="B58" s="183"/>
      <c r="C58" s="167"/>
      <c r="D58" s="168"/>
      <c r="E58" s="104"/>
      <c r="F58" s="181"/>
      <c r="G58" s="167"/>
      <c r="H58" s="168"/>
      <c r="I58" s="104"/>
      <c r="J58" s="144"/>
    </row>
    <row r="59" spans="1:23" x14ac:dyDescent="0.25">
      <c r="A59" s="144"/>
      <c r="B59" s="183"/>
      <c r="C59" s="167"/>
      <c r="D59" s="168"/>
      <c r="E59" s="104"/>
      <c r="F59" s="181"/>
      <c r="G59" s="167"/>
      <c r="H59" s="168"/>
      <c r="I59" s="104"/>
      <c r="J59" s="144"/>
    </row>
    <row r="60" spans="1:23" x14ac:dyDescent="0.25">
      <c r="A60" s="144"/>
      <c r="B60" s="183"/>
      <c r="C60" s="167"/>
      <c r="D60" s="168"/>
      <c r="E60" s="104"/>
      <c r="F60" s="181"/>
      <c r="G60" s="167"/>
      <c r="H60" s="168"/>
      <c r="I60" s="104"/>
      <c r="J60" s="144"/>
    </row>
    <row r="61" spans="1:23" x14ac:dyDescent="0.25">
      <c r="A61" s="144"/>
      <c r="B61" s="183"/>
      <c r="C61" s="167"/>
      <c r="D61" s="168"/>
      <c r="E61" s="104"/>
      <c r="F61" s="181"/>
      <c r="G61" s="167"/>
      <c r="H61" s="168"/>
      <c r="I61" s="104"/>
      <c r="J61" s="144"/>
    </row>
    <row r="62" spans="1:23" x14ac:dyDescent="0.25">
      <c r="A62" s="144"/>
      <c r="B62" s="183"/>
      <c r="C62" s="167"/>
      <c r="D62" s="168"/>
      <c r="E62" s="104"/>
      <c r="F62" s="181"/>
      <c r="G62" s="167"/>
      <c r="H62" s="168"/>
      <c r="I62" s="104"/>
      <c r="J62" s="144"/>
    </row>
    <row r="63" spans="1:23" x14ac:dyDescent="0.25">
      <c r="A63" s="144"/>
      <c r="B63" s="183"/>
      <c r="C63" s="167"/>
      <c r="D63" s="168"/>
      <c r="E63" s="104"/>
      <c r="F63" s="181"/>
      <c r="G63" s="167"/>
      <c r="H63" s="168"/>
      <c r="I63" s="104"/>
      <c r="J63" s="144"/>
    </row>
    <row r="64" spans="1:23" x14ac:dyDescent="0.25">
      <c r="A64" s="144"/>
      <c r="B64" s="183"/>
      <c r="C64" s="167"/>
      <c r="D64" s="168"/>
      <c r="E64" s="104"/>
      <c r="F64" s="181"/>
      <c r="G64" s="167"/>
      <c r="H64" s="168"/>
      <c r="I64" s="104"/>
      <c r="J64" s="144"/>
    </row>
    <row r="65" spans="1:10" x14ac:dyDescent="0.25">
      <c r="A65" s="144"/>
      <c r="B65" s="183"/>
      <c r="C65" s="167"/>
      <c r="D65" s="168"/>
      <c r="E65" s="104"/>
      <c r="F65" s="181"/>
      <c r="G65" s="167"/>
      <c r="H65" s="168"/>
      <c r="I65" s="104"/>
      <c r="J65" s="144"/>
    </row>
    <row r="66" spans="1:10" x14ac:dyDescent="0.25">
      <c r="A66" s="144"/>
      <c r="B66" s="183"/>
      <c r="C66" s="167"/>
      <c r="D66" s="168"/>
      <c r="E66" s="104"/>
      <c r="F66" s="181"/>
      <c r="G66" s="167"/>
      <c r="H66" s="168"/>
      <c r="I66" s="104"/>
      <c r="J66" s="144"/>
    </row>
    <row r="67" spans="1:10" x14ac:dyDescent="0.25">
      <c r="A67" s="144"/>
      <c r="B67" s="183"/>
      <c r="C67" s="167"/>
      <c r="D67" s="168"/>
      <c r="E67" s="104"/>
      <c r="F67" s="181"/>
      <c r="G67" s="167"/>
      <c r="H67" s="168"/>
      <c r="I67" s="104"/>
      <c r="J67" s="144"/>
    </row>
    <row r="68" spans="1:10" x14ac:dyDescent="0.25">
      <c r="A68" s="144"/>
      <c r="B68" s="144"/>
      <c r="C68" s="144"/>
      <c r="D68" s="144"/>
      <c r="E68" s="144"/>
      <c r="F68" s="144"/>
      <c r="G68" s="144"/>
      <c r="H68" s="144"/>
      <c r="I68" s="144"/>
      <c r="J68" s="144"/>
    </row>
    <row r="69" spans="1:10" x14ac:dyDescent="0.25">
      <c r="A69" s="144"/>
      <c r="B69" s="144"/>
      <c r="C69" s="144"/>
      <c r="D69" s="144"/>
      <c r="E69" s="144"/>
      <c r="F69" s="144"/>
      <c r="G69" s="144"/>
      <c r="H69" s="144"/>
      <c r="I69" s="144"/>
      <c r="J69" s="144"/>
    </row>
    <row r="70" spans="1:10" x14ac:dyDescent="0.25">
      <c r="A70" s="144"/>
      <c r="B70" s="144"/>
      <c r="C70" s="144"/>
      <c r="D70" s="144"/>
      <c r="E70" s="144"/>
      <c r="F70" s="144"/>
      <c r="G70" s="144"/>
      <c r="H70" s="144"/>
      <c r="I70" s="144"/>
      <c r="J70" s="144"/>
    </row>
    <row r="71" spans="1:10" x14ac:dyDescent="0.25">
      <c r="A71" s="144"/>
      <c r="B71" s="144"/>
      <c r="C71" s="144"/>
      <c r="D71" s="144"/>
      <c r="E71" s="144"/>
      <c r="F71" s="144"/>
      <c r="G71" s="144"/>
      <c r="H71" s="144"/>
      <c r="I71" s="144"/>
      <c r="J71" s="144"/>
    </row>
    <row r="72" spans="1:1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spans="1:10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spans="1:10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spans="1:10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spans="1:10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spans="1:10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spans="1:10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spans="1:10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spans="1:10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spans="1:10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spans="1:10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spans="1:10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spans="1:10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spans="1:10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spans="1:10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spans="1:10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</row>
  </sheetData>
  <sheetProtection password="A926" sheet="1" formatCells="0" formatColumns="0" formatRows="0" insertColumns="0" insertRows="0" insertHyperlinks="0" deleteColumns="0" deleteRows="0" sort="0" autoFilter="0" pivotTables="0"/>
  <mergeCells count="17">
    <mergeCell ref="M1:T2"/>
    <mergeCell ref="X1:AE2"/>
    <mergeCell ref="B4:I4"/>
    <mergeCell ref="B5:I5"/>
    <mergeCell ref="B33:B35"/>
    <mergeCell ref="F33:F35"/>
    <mergeCell ref="B6:E6"/>
    <mergeCell ref="F6:I6"/>
    <mergeCell ref="B8:B16"/>
    <mergeCell ref="F8:F16"/>
    <mergeCell ref="B17:B19"/>
    <mergeCell ref="F17:F19"/>
    <mergeCell ref="B21:I21"/>
    <mergeCell ref="B22:E22"/>
    <mergeCell ref="F22:I22"/>
    <mergeCell ref="B24:B32"/>
    <mergeCell ref="F24:F32"/>
  </mergeCells>
  <pageMargins left="0.7" right="0.7" top="0.75" bottom="0.75" header="0.3" footer="0.3"/>
  <pageSetup paperSize="9" scale="92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35"/>
  <sheetViews>
    <sheetView zoomScaleNormal="100" workbookViewId="0">
      <selection activeCell="H8" sqref="H8"/>
    </sheetView>
  </sheetViews>
  <sheetFormatPr defaultRowHeight="15" x14ac:dyDescent="0.25"/>
  <cols>
    <col min="1" max="10" width="9.140625" style="2"/>
    <col min="11" max="11" width="9.140625" style="59"/>
    <col min="12" max="21" width="9.140625" style="2"/>
    <col min="22" max="22" width="9.140625" style="59"/>
    <col min="23" max="32" width="9.140625" style="2"/>
    <col min="33" max="33" width="9.140625" style="59"/>
    <col min="34" max="16384" width="9.140625" style="2"/>
  </cols>
  <sheetData>
    <row r="1" spans="2:33" ht="15" customHeight="1" x14ac:dyDescent="0.25">
      <c r="M1" s="58" t="s">
        <v>63</v>
      </c>
      <c r="N1" s="58"/>
      <c r="O1" s="58"/>
      <c r="P1" s="58"/>
      <c r="Q1" s="58"/>
      <c r="R1" s="58"/>
      <c r="S1" s="58"/>
      <c r="T1" s="58"/>
      <c r="X1" s="58" t="s">
        <v>73</v>
      </c>
      <c r="Y1" s="58"/>
      <c r="Z1" s="58"/>
      <c r="AA1" s="58"/>
      <c r="AB1" s="58"/>
      <c r="AC1" s="58"/>
      <c r="AD1" s="58"/>
      <c r="AE1" s="58"/>
    </row>
    <row r="2" spans="2:33" ht="15" customHeight="1" x14ac:dyDescent="0.25">
      <c r="M2" s="58"/>
      <c r="N2" s="58"/>
      <c r="O2" s="58"/>
      <c r="P2" s="58"/>
      <c r="Q2" s="58"/>
      <c r="R2" s="58"/>
      <c r="S2" s="58"/>
      <c r="T2" s="58"/>
      <c r="X2" s="58"/>
      <c r="Y2" s="58"/>
      <c r="Z2" s="58"/>
      <c r="AA2" s="58"/>
      <c r="AB2" s="58"/>
      <c r="AC2" s="58"/>
      <c r="AD2" s="58"/>
      <c r="AE2" s="58"/>
    </row>
    <row r="4" spans="2:33" x14ac:dyDescent="0.25">
      <c r="B4" s="148" t="s">
        <v>74</v>
      </c>
      <c r="C4" s="148"/>
      <c r="D4" s="148"/>
      <c r="E4" s="148"/>
      <c r="F4" s="148"/>
      <c r="G4" s="148"/>
      <c r="H4" s="148"/>
      <c r="I4" s="148"/>
      <c r="K4" s="149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49"/>
      <c r="W4" s="150"/>
      <c r="X4" s="150"/>
      <c r="Y4" s="150"/>
      <c r="Z4" s="150"/>
      <c r="AA4" s="150"/>
      <c r="AB4" s="150"/>
      <c r="AC4" s="150"/>
      <c r="AD4" s="150"/>
      <c r="AF4" s="150"/>
      <c r="AG4" s="149"/>
    </row>
    <row r="5" spans="2:33" ht="15.75" thickBot="1" x14ac:dyDescent="0.3">
      <c r="B5" s="151" t="s">
        <v>66</v>
      </c>
      <c r="C5" s="151"/>
      <c r="D5" s="151"/>
      <c r="E5" s="151"/>
      <c r="F5" s="151"/>
      <c r="G5" s="151"/>
      <c r="H5" s="151"/>
      <c r="I5" s="151"/>
    </row>
    <row r="6" spans="2:33" x14ac:dyDescent="0.25">
      <c r="B6" s="152" t="s">
        <v>67</v>
      </c>
      <c r="C6" s="153"/>
      <c r="D6" s="153"/>
      <c r="E6" s="154"/>
      <c r="F6" s="152" t="s">
        <v>68</v>
      </c>
      <c r="G6" s="153"/>
      <c r="H6" s="153"/>
      <c r="I6" s="154"/>
    </row>
    <row r="7" spans="2:33" ht="18" thickBot="1" x14ac:dyDescent="0.3">
      <c r="B7" s="155"/>
      <c r="C7" s="156" t="s">
        <v>4</v>
      </c>
      <c r="D7" s="160" t="s">
        <v>20</v>
      </c>
      <c r="E7" s="184" t="s">
        <v>21</v>
      </c>
      <c r="F7" s="159"/>
      <c r="G7" s="156" t="s">
        <v>4</v>
      </c>
      <c r="H7" s="160" t="s">
        <v>20</v>
      </c>
      <c r="I7" s="184" t="s">
        <v>21</v>
      </c>
    </row>
    <row r="8" spans="2:33" ht="15" customHeight="1" x14ac:dyDescent="0.25">
      <c r="B8" s="185" t="s">
        <v>75</v>
      </c>
      <c r="C8" s="162" t="s">
        <v>25</v>
      </c>
      <c r="D8" s="163">
        <f>AVERAGE([6]Regressão_3!R5,[6]Regressão_3!R17,[6]Regressão_3!R29,[6]Regressão_3!R41,[6]Regressão_3!R53)</f>
        <v>0.4701629420695273</v>
      </c>
      <c r="E8" s="165">
        <f>AVERAGE([6]Regressão_3!S5,[6]Regressão_3!S17,[6]Regressão_3!S29,[6]Regressão_3!S41,[6]Regressão_3!S53)</f>
        <v>9.6876708039310682</v>
      </c>
      <c r="F8" s="186">
        <v>12</v>
      </c>
      <c r="G8" s="162" t="s">
        <v>25</v>
      </c>
      <c r="H8" s="163">
        <f>AVERAGE([6]Regressão_3!R65)</f>
        <v>0.34021441718312223</v>
      </c>
      <c r="I8" s="165">
        <f>AVERAGE([6]Regressão_3!S65)</f>
        <v>6.9980891669149541</v>
      </c>
    </row>
    <row r="9" spans="2:33" x14ac:dyDescent="0.25">
      <c r="B9" s="187"/>
      <c r="C9" s="156" t="s">
        <v>28</v>
      </c>
      <c r="D9" s="168">
        <f>AVERAGE([6]Regressão_3!R6,[6]Regressão_3!R18,[6]Regressão_3!R30,[6]Regressão_3!R42,[6]Regressão_3!R54)</f>
        <v>0.43717265292428048</v>
      </c>
      <c r="E9" s="169">
        <f>AVERAGE([6]Regressão_3!S6,[6]Regressão_3!S18,[6]Regressão_3!S30,[6]Regressão_3!S42,[6]Regressão_3!S54)</f>
        <v>7.920034120569845</v>
      </c>
      <c r="F9" s="188"/>
      <c r="G9" s="156" t="s">
        <v>28</v>
      </c>
      <c r="H9" s="168">
        <f>AVERAGE([6]Regressão_3!R66)</f>
        <v>0.5086981430441555</v>
      </c>
      <c r="I9" s="169">
        <f>AVERAGE([6]Regressão_3!S66)</f>
        <v>9.6102423780805317</v>
      </c>
    </row>
    <row r="10" spans="2:33" x14ac:dyDescent="0.25">
      <c r="B10" s="187"/>
      <c r="C10" s="156" t="s">
        <v>30</v>
      </c>
      <c r="D10" s="168">
        <f>AVERAGE([6]Regressão_3!R7,[6]Regressão_3!R19,[6]Regressão_3!R31,[6]Regressão_3!R43,[6]Regressão_3!R55)</f>
        <v>0.33738550539512724</v>
      </c>
      <c r="E10" s="169">
        <f>AVERAGE([6]Regressão_3!S7,[6]Regressão_3!S19,[6]Regressão_3!S31,[6]Regressão_3!S43,[6]Regressão_3!S55)</f>
        <v>6.8689630772292869</v>
      </c>
      <c r="F10" s="188"/>
      <c r="G10" s="156" t="s">
        <v>30</v>
      </c>
      <c r="H10" s="168">
        <f>AVERAGE([6]Regressão_3!R67)</f>
        <v>0.34493417589383873</v>
      </c>
      <c r="I10" s="169">
        <f>AVERAGE([6]Regressão_3!S67)</f>
        <v>6.9616147538189912</v>
      </c>
    </row>
    <row r="11" spans="2:33" x14ac:dyDescent="0.25">
      <c r="B11" s="187"/>
      <c r="C11" s="156" t="s">
        <v>32</v>
      </c>
      <c r="D11" s="168">
        <f>AVERAGE([6]Regressão_3!R8,[6]Regressão_3!R20,[6]Regressão_3!R32,[6]Regressão_3!R44,[6]Regressão_3!R56)</f>
        <v>0.24961650154217824</v>
      </c>
      <c r="E11" s="169">
        <f>AVERAGE([6]Regressão_3!S8,[6]Regressão_3!S20,[6]Regressão_3!S32,[6]Regressão_3!S44,[6]Regressão_3!S56)</f>
        <v>5.013515137388314</v>
      </c>
      <c r="F11" s="188"/>
      <c r="G11" s="156" t="s">
        <v>32</v>
      </c>
      <c r="H11" s="168">
        <f>AVERAGE([6]Regressão_3!R68)</f>
        <v>0.28859435743129708</v>
      </c>
      <c r="I11" s="169">
        <f>AVERAGE([6]Regressão_3!S68)</f>
        <v>5.729928736509236</v>
      </c>
    </row>
    <row r="12" spans="2:33" x14ac:dyDescent="0.25">
      <c r="B12" s="187"/>
      <c r="C12" s="156" t="s">
        <v>34</v>
      </c>
      <c r="D12" s="168">
        <f>AVERAGE([6]Regressão_3!R9,[6]Regressão_3!R21,[6]Regressão_3!R33,[6]Regressão_3!R45,[6]Regressão_3!R57)</f>
        <v>0.22853671364587697</v>
      </c>
      <c r="E12" s="169">
        <f>AVERAGE([6]Regressão_3!S9,[6]Regressão_3!S21,[6]Regressão_3!S33,[6]Regressão_3!S45,[6]Regressão_3!S57)</f>
        <v>4.6002513857137162</v>
      </c>
      <c r="F12" s="188"/>
      <c r="G12" s="156" t="s">
        <v>34</v>
      </c>
      <c r="H12" s="168">
        <f>AVERAGE([6]Regressão_3!R69)</f>
        <v>0.29154212628163223</v>
      </c>
      <c r="I12" s="169">
        <f>AVERAGE([6]Regressão_3!S69)</f>
        <v>5.9954823714343464</v>
      </c>
    </row>
    <row r="13" spans="2:33" x14ac:dyDescent="0.25">
      <c r="B13" s="187"/>
      <c r="C13" s="156" t="s">
        <v>36</v>
      </c>
      <c r="D13" s="168">
        <f>AVERAGE([6]Regressão_3!R10,[6]Regressão_3!R22,[6]Regressão_3!R34,[6]Regressão_3!R46,[6]Regressão_3!R58)</f>
        <v>0.25876226098381439</v>
      </c>
      <c r="E13" s="169">
        <f>AVERAGE([6]Regressão_3!S10,[6]Regressão_3!S22,[6]Regressão_3!S34,[6]Regressão_3!S46,[6]Regressão_3!S58)</f>
        <v>5.0546918557255083</v>
      </c>
      <c r="F13" s="188"/>
      <c r="G13" s="156" t="s">
        <v>36</v>
      </c>
      <c r="H13" s="168">
        <f>AVERAGE([6]Regressão_3!R70)</f>
        <v>0.31788936161248699</v>
      </c>
      <c r="I13" s="169">
        <f>AVERAGE([6]Regressão_3!S70)</f>
        <v>6.2805000565740201</v>
      </c>
    </row>
    <row r="14" spans="2:33" x14ac:dyDescent="0.25">
      <c r="B14" s="187"/>
      <c r="C14" s="156" t="s">
        <v>38</v>
      </c>
      <c r="D14" s="168">
        <f>AVERAGE([6]Regressão_3!R11,[6]Regressão_3!R23,[6]Regressão_3!R35,[6]Regressão_3!R47,[6]Regressão_3!R59)</f>
        <v>0.2830058792193178</v>
      </c>
      <c r="E14" s="169">
        <f>AVERAGE([6]Regressão_3!S11,[6]Regressão_3!S23,[6]Regressão_3!S35,[6]Regressão_3!S47,[6]Regressão_3!S59)</f>
        <v>6.1019270457327179</v>
      </c>
      <c r="F14" s="188"/>
      <c r="G14" s="156" t="s">
        <v>38</v>
      </c>
      <c r="H14" s="168">
        <f>AVERAGE([6]Regressão_3!R71)</f>
        <v>0.3309529167921556</v>
      </c>
      <c r="I14" s="169">
        <f>AVERAGE([6]Regressão_3!S71)</f>
        <v>6.4891976095974666</v>
      </c>
    </row>
    <row r="15" spans="2:33" x14ac:dyDescent="0.25">
      <c r="B15" s="187"/>
      <c r="C15" s="156" t="s">
        <v>40</v>
      </c>
      <c r="D15" s="168">
        <f>AVERAGE([6]Regressão_3!R12,[6]Regressão_3!R24,[6]Regressão_3!R36,[6]Regressão_3!R48,[6]Regressão_3!R60)</f>
        <v>0.28910505641807155</v>
      </c>
      <c r="E15" s="169">
        <f>AVERAGE([6]Regressão_3!S12,[6]Regressão_3!S24,[6]Regressão_3!S36,[6]Regressão_3!S48,[6]Regressão_3!S60)</f>
        <v>6.1288943742302777</v>
      </c>
      <c r="F15" s="188"/>
      <c r="G15" s="156" t="s">
        <v>40</v>
      </c>
      <c r="H15" s="168">
        <f>AVERAGE([6]Regressão_3!R72)</f>
        <v>0.33389477713900728</v>
      </c>
      <c r="I15" s="169">
        <f>AVERAGE([6]Regressão_3!S72)</f>
        <v>6.7288147675378047</v>
      </c>
    </row>
    <row r="16" spans="2:33" x14ac:dyDescent="0.25">
      <c r="B16" s="187"/>
      <c r="C16" s="156" t="s">
        <v>42</v>
      </c>
      <c r="D16" s="168">
        <f>AVERAGE([6]Regressão_3!R13,[6]Regressão_3!R25,[6]Regressão_3!R37,[6]Regressão_3!R49,[6]Regressão_3!R61)</f>
        <v>0.26483736147625614</v>
      </c>
      <c r="E16" s="169">
        <f>AVERAGE([6]Regressão_3!S13,[6]Regressão_3!S25,[6]Regressão_3!S37,[6]Regressão_3!S49,[6]Regressão_3!S61)</f>
        <v>5.1823195615125632</v>
      </c>
      <c r="F16" s="188"/>
      <c r="G16" s="156" t="s">
        <v>42</v>
      </c>
      <c r="H16" s="168">
        <f>AVERAGE([6]Regressão_3!R73)</f>
        <v>0.34883390015598637</v>
      </c>
      <c r="I16" s="169">
        <f>AVERAGE([6]Regressão_3!S73)</f>
        <v>6.7782187754852883</v>
      </c>
    </row>
    <row r="17" spans="1:9" ht="15.75" thickBot="1" x14ac:dyDescent="0.3">
      <c r="B17" s="189"/>
      <c r="C17" s="190" t="s">
        <v>44</v>
      </c>
      <c r="D17" s="172">
        <f>AVERAGE([6]Regressão_3!R14,[6]Regressão_3!R26,[6]Regressão_3!R38,[6]Regressão_3!R50,[6]Regressão_3!R62)</f>
        <v>0.23624490240762103</v>
      </c>
      <c r="E17" s="174">
        <f>AVERAGE([6]Regressão_3!S14,[6]Regressão_3!S26,[6]Regressão_3!S38,[6]Regressão_3!S50,[6]Regressão_3!S62)</f>
        <v>4.7895505342522613</v>
      </c>
      <c r="F17" s="191"/>
      <c r="G17" s="190" t="s">
        <v>44</v>
      </c>
      <c r="H17" s="172">
        <f>AVERAGE([6]Regressão_3!R74)</f>
        <v>0.2983717296988096</v>
      </c>
      <c r="I17" s="174">
        <f>AVERAGE([6]Regressão_3!S74)</f>
        <v>6.0399875273939712</v>
      </c>
    </row>
    <row r="18" spans="1:9" x14ac:dyDescent="0.25">
      <c r="B18" s="192" t="s">
        <v>76</v>
      </c>
      <c r="C18" s="193" t="s">
        <v>46</v>
      </c>
      <c r="D18" s="163">
        <f>AVERAGE([6]Regressão_3!R15,[6]Regressão_3!R27,[6]Regressão_3!R39,[6]Regressão_3!R51)</f>
        <v>0.30397598671186304</v>
      </c>
      <c r="E18" s="165">
        <f>AVERAGE([6]Regressão_3!S15,[6]Regressão_3!S27,[6]Regressão_3!S39,[6]Regressão_3!S51)</f>
        <v>6.0107475615995511</v>
      </c>
      <c r="F18" s="161" t="s">
        <v>77</v>
      </c>
      <c r="G18" s="193" t="s">
        <v>46</v>
      </c>
      <c r="H18" s="163">
        <f>AVERAGE([6]Regressão_3!R63,[6]Regressão_3!R75)</f>
        <v>0.32491418282471163</v>
      </c>
      <c r="I18" s="165">
        <f>AVERAGE([6]Regressão_3!S63,[6]Regressão_3!S75)</f>
        <v>6.5871662601742011</v>
      </c>
    </row>
    <row r="19" spans="1:9" ht="15.75" thickBot="1" x14ac:dyDescent="0.3">
      <c r="B19" s="194"/>
      <c r="C19" s="190" t="s">
        <v>48</v>
      </c>
      <c r="D19" s="172">
        <f>AVERAGE([6]Regressão_3!R16,[6]Regressão_3!R28,[6]Regressão_3!R40,[6]Regressão_3!R52)</f>
        <v>0.43632207098956416</v>
      </c>
      <c r="E19" s="174">
        <f>AVERAGE([6]Regressão_3!S16,[6]Regressão_3!S28,[6]Regressão_3!S40,[6]Regressão_3!S52)</f>
        <v>9.2175741893403256</v>
      </c>
      <c r="F19" s="191"/>
      <c r="G19" s="190" t="s">
        <v>48</v>
      </c>
      <c r="H19" s="172">
        <f>AVERAGE([6]Regressão_3!R64,[6]Regressão_3!R76)</f>
        <v>0.34183056166216513</v>
      </c>
      <c r="I19" s="174">
        <f>AVERAGE([6]Regressão_3!S64,[6]Regressão_3!S76)</f>
        <v>6.8509019478637967</v>
      </c>
    </row>
    <row r="20" spans="1:9" x14ac:dyDescent="0.25">
      <c r="D20" s="54"/>
    </row>
    <row r="21" spans="1:9" ht="15.75" thickBot="1" x14ac:dyDescent="0.3">
      <c r="B21" s="151" t="s">
        <v>78</v>
      </c>
      <c r="C21" s="151"/>
      <c r="D21" s="151"/>
      <c r="E21" s="151"/>
      <c r="F21" s="151"/>
      <c r="G21" s="151"/>
      <c r="H21" s="151"/>
      <c r="I21" s="151"/>
    </row>
    <row r="22" spans="1:9" x14ac:dyDescent="0.25">
      <c r="A22" s="54"/>
      <c r="B22" s="152" t="s">
        <v>67</v>
      </c>
      <c r="C22" s="153"/>
      <c r="D22" s="153"/>
      <c r="E22" s="154"/>
      <c r="F22" s="152" t="s">
        <v>68</v>
      </c>
      <c r="G22" s="153"/>
      <c r="H22" s="153"/>
      <c r="I22" s="154"/>
    </row>
    <row r="23" spans="1:9" ht="18" thickBot="1" x14ac:dyDescent="0.3">
      <c r="A23" s="54"/>
      <c r="B23" s="178"/>
      <c r="C23" s="156" t="s">
        <v>4</v>
      </c>
      <c r="D23" s="160" t="s">
        <v>20</v>
      </c>
      <c r="E23" s="184" t="s">
        <v>21</v>
      </c>
      <c r="F23" s="159"/>
      <c r="G23" s="156" t="s">
        <v>4</v>
      </c>
      <c r="H23" s="160" t="s">
        <v>20</v>
      </c>
      <c r="I23" s="184" t="s">
        <v>21</v>
      </c>
    </row>
    <row r="24" spans="1:9" x14ac:dyDescent="0.25">
      <c r="A24" s="54"/>
      <c r="B24" s="185" t="s">
        <v>75</v>
      </c>
      <c r="C24" s="162" t="s">
        <v>25</v>
      </c>
      <c r="D24" s="163">
        <f>AVERAGE([6]Regressão_3!L5,[6]Regressão_3!L17,[6]Regressão_3!L29,[6]Regressão_3!L41,[6]Regressão_3!L53)</f>
        <v>8.9462508200718105E-2</v>
      </c>
      <c r="E24" s="165">
        <f>AVERAGE([6]Regressão_3!M5,[6]Regressão_3!M17,[6]Regressão_3!M29,[6]Regressão_3!M41,[6]Regressão_3!M53)</f>
        <v>1.8424118042725937</v>
      </c>
      <c r="F24" s="186">
        <v>12</v>
      </c>
      <c r="G24" s="162" t="s">
        <v>25</v>
      </c>
      <c r="H24" s="163">
        <f>AVERAGE([6]Regressão_3!L65)</f>
        <v>3.7080145430166543E-2</v>
      </c>
      <c r="I24" s="165">
        <f>AVERAGE([6]Regressão_3!M65)</f>
        <v>0.7627253606445713</v>
      </c>
    </row>
    <row r="25" spans="1:9" x14ac:dyDescent="0.25">
      <c r="A25" s="54"/>
      <c r="B25" s="187"/>
      <c r="C25" s="156" t="s">
        <v>28</v>
      </c>
      <c r="D25" s="168">
        <f>AVERAGE([6]Regressão_3!L6,[6]Regressão_3!L18,[6]Regressão_3!L30,[6]Regressão_3!L42,[6]Regressão_3!L54)</f>
        <v>8.5238344768425692E-2</v>
      </c>
      <c r="E25" s="169">
        <f>AVERAGE([6]Regressão_3!M6,[6]Regressão_3!M18,[6]Regressão_3!M30,[6]Regressão_3!M42,[6]Regressão_3!M54)</f>
        <v>1.5499535266072422</v>
      </c>
      <c r="F25" s="188"/>
      <c r="G25" s="156" t="s">
        <v>28</v>
      </c>
      <c r="H25" s="168">
        <f>AVERAGE([6]Regressão_3!L66)</f>
        <v>7.0135945650412715E-2</v>
      </c>
      <c r="I25" s="169">
        <f>AVERAGE([6]Regressão_3!M66)</f>
        <v>1.3249968499646034</v>
      </c>
    </row>
    <row r="26" spans="1:9" x14ac:dyDescent="0.25">
      <c r="A26" s="54"/>
      <c r="B26" s="187"/>
      <c r="C26" s="156" t="s">
        <v>30</v>
      </c>
      <c r="D26" s="168">
        <f>AVERAGE([6]Regressão_3!L7,[6]Regressão_3!L19,[6]Regressão_3!L31,[6]Regressão_3!L43,[6]Regressão_3!L55)</f>
        <v>8.8052498754354128E-2</v>
      </c>
      <c r="E26" s="169">
        <f>AVERAGE([6]Regressão_3!M7,[6]Regressão_3!M19,[6]Regressão_3!M31,[6]Regressão_3!M43,[6]Regressão_3!M55)</f>
        <v>1.8095442918202367</v>
      </c>
      <c r="F26" s="188"/>
      <c r="G26" s="156" t="s">
        <v>30</v>
      </c>
      <c r="H26" s="168">
        <f>AVERAGE([6]Regressão_3!L67)</f>
        <v>9.0603590349988772E-2</v>
      </c>
      <c r="I26" s="169">
        <f>AVERAGE([6]Regressão_3!M67)</f>
        <v>1.8286019055519176</v>
      </c>
    </row>
    <row r="27" spans="1:9" x14ac:dyDescent="0.25">
      <c r="A27" s="54"/>
      <c r="B27" s="187"/>
      <c r="C27" s="156" t="s">
        <v>32</v>
      </c>
      <c r="D27" s="168">
        <f>AVERAGE([6]Regressão_3!L8,[6]Regressão_3!L20,[6]Regressão_3!L32,[6]Regressão_3!L44,[6]Regressão_3!L56)</f>
        <v>8.1216119599957115E-2</v>
      </c>
      <c r="E27" s="169">
        <f>AVERAGE([6]Regressão_3!M8,[6]Regressão_3!M20,[6]Regressão_3!M32,[6]Regressão_3!M44,[6]Regressão_3!M56)</f>
        <v>1.6440075526916769</v>
      </c>
      <c r="F27" s="188"/>
      <c r="G27" s="156" t="s">
        <v>32</v>
      </c>
      <c r="H27" s="168">
        <f>AVERAGE([6]Regressão_3!L68)</f>
        <v>9.7683362947590918E-2</v>
      </c>
      <c r="I27" s="169">
        <f>AVERAGE([6]Regressão_3!M68)</f>
        <v>1.9394651836375898</v>
      </c>
    </row>
    <row r="28" spans="1:9" x14ac:dyDescent="0.25">
      <c r="A28" s="54"/>
      <c r="B28" s="187"/>
      <c r="C28" s="156" t="s">
        <v>34</v>
      </c>
      <c r="D28" s="168">
        <f>AVERAGE([6]Regressão_3!L9,[6]Regressão_3!L21,[6]Regressão_3!L33,[6]Regressão_3!L45,[6]Regressão_3!L57)</f>
        <v>8.4533081823914807E-2</v>
      </c>
      <c r="E28" s="169">
        <f>AVERAGE([6]Regressão_3!M9,[6]Regressão_3!M21,[6]Regressão_3!M33,[6]Regressão_3!M45,[6]Regressão_3!M57)</f>
        <v>1.7075445415352579</v>
      </c>
      <c r="F28" s="188"/>
      <c r="G28" s="156" t="s">
        <v>34</v>
      </c>
      <c r="H28" s="168">
        <f>AVERAGE([6]Regressão_3!L69)</f>
        <v>0.14347699037831405</v>
      </c>
      <c r="I28" s="169">
        <f>AVERAGE([6]Regressão_3!M69)</f>
        <v>2.950564220309841</v>
      </c>
    </row>
    <row r="29" spans="1:9" x14ac:dyDescent="0.25">
      <c r="A29" s="54"/>
      <c r="B29" s="187"/>
      <c r="C29" s="156" t="s">
        <v>36</v>
      </c>
      <c r="D29" s="168">
        <f>AVERAGE([6]Regressão_3!L10,[6]Regressão_3!L22,[6]Regressão_3!L34,[6]Regressão_3!L46,[6]Regressão_3!L58)</f>
        <v>0.11427896082590069</v>
      </c>
      <c r="E29" s="169">
        <f>AVERAGE([6]Regressão_3!M10,[6]Regressão_3!M22,[6]Regressão_3!M34,[6]Regressão_3!M46,[6]Regressão_3!M58)</f>
        <v>2.2418333072001264</v>
      </c>
      <c r="F29" s="188"/>
      <c r="G29" s="156" t="s">
        <v>36</v>
      </c>
      <c r="H29" s="168">
        <f>AVERAGE([6]Regressão_3!L70)</f>
        <v>0.16968639021772061</v>
      </c>
      <c r="I29" s="169">
        <f>AVERAGE([6]Regressão_3!M70)</f>
        <v>3.3524726274462817</v>
      </c>
    </row>
    <row r="30" spans="1:9" x14ac:dyDescent="0.25">
      <c r="A30" s="54"/>
      <c r="B30" s="187"/>
      <c r="C30" s="156" t="s">
        <v>38</v>
      </c>
      <c r="D30" s="168">
        <f>AVERAGE([6]Regressão_3!L11,[6]Regressão_3!L23,[6]Regressão_3!L35,[6]Regressão_3!L47,[6]Regressão_3!L59)</f>
        <v>0.13968057424454114</v>
      </c>
      <c r="E30" s="169">
        <f>AVERAGE([6]Regressão_3!M11,[6]Regressão_3!M23,[6]Regressão_3!M35,[6]Regressão_3!M47,[6]Regressão_3!M59)</f>
        <v>3.0081155375884703</v>
      </c>
      <c r="F30" s="188"/>
      <c r="G30" s="156" t="s">
        <v>38</v>
      </c>
      <c r="H30" s="168">
        <f>AVERAGE([6]Regressão_3!L71)</f>
        <v>0.18082822431565945</v>
      </c>
      <c r="I30" s="169">
        <f>AVERAGE([6]Regressão_3!M71)</f>
        <v>3.5456103313749225</v>
      </c>
    </row>
    <row r="31" spans="1:9" x14ac:dyDescent="0.25">
      <c r="A31" s="54"/>
      <c r="B31" s="187"/>
      <c r="C31" s="156" t="s">
        <v>40</v>
      </c>
      <c r="D31" s="168">
        <f>AVERAGE([6]Regressão_3!L12,[6]Regressão_3!L24,[6]Regressão_3!L36,[6]Regressão_3!L48,[6]Regressão_3!L60)</f>
        <v>0.14144784341251482</v>
      </c>
      <c r="E31" s="169">
        <f>AVERAGE([6]Regressão_3!M12,[6]Regressão_3!M24,[6]Regressão_3!M36,[6]Regressão_3!M48,[6]Regressão_3!M60)</f>
        <v>3.0029720479069653</v>
      </c>
      <c r="F31" s="188"/>
      <c r="G31" s="156" t="s">
        <v>40</v>
      </c>
      <c r="H31" s="168">
        <f>AVERAGE([6]Regressão_3!L72)</f>
        <v>0.17739503681351934</v>
      </c>
      <c r="I31" s="169">
        <f>AVERAGE([6]Regressão_3!M72)</f>
        <v>3.5749536234937178</v>
      </c>
    </row>
    <row r="32" spans="1:9" x14ac:dyDescent="0.25">
      <c r="A32" s="54"/>
      <c r="B32" s="187"/>
      <c r="C32" s="156" t="s">
        <v>42</v>
      </c>
      <c r="D32" s="168">
        <f>AVERAGE([6]Regressão_3!L13,[6]Regressão_3!L25,[6]Regressão_3!L37,[6]Regressão_3!L49,[6]Regressão_3!L61)</f>
        <v>0.1187990188979073</v>
      </c>
      <c r="E32" s="169">
        <f>AVERAGE([6]Regressão_3!M13,[6]Regressão_3!M25,[6]Regressão_3!M37,[6]Regressão_3!M49,[6]Regressão_3!M61)</f>
        <v>2.3263599498934999</v>
      </c>
      <c r="F32" s="188"/>
      <c r="G32" s="156" t="s">
        <v>42</v>
      </c>
      <c r="H32" s="168">
        <f>AVERAGE([6]Regressão_3!L73)</f>
        <v>0.18926987110125615</v>
      </c>
      <c r="I32" s="169">
        <f>AVERAGE([6]Regressão_3!M73)</f>
        <v>3.6777176569093224</v>
      </c>
    </row>
    <row r="33" spans="1:9" ht="15.75" thickBot="1" x14ac:dyDescent="0.3">
      <c r="A33" s="54"/>
      <c r="B33" s="189"/>
      <c r="C33" s="190" t="s">
        <v>44</v>
      </c>
      <c r="D33" s="168">
        <f>AVERAGE([6]Regressão_3!L14,[6]Regressão_3!L26,[6]Regressão_3!L38,[6]Regressão_3!L50,[6]Regressão_3!L62)</f>
        <v>8.7684815860530729E-2</v>
      </c>
      <c r="E33" s="174">
        <f>AVERAGE([6]Regressão_3!M14,[6]Regressão_3!M26,[6]Regressão_3!M38,[6]Regressão_3!M50,[6]Regressão_3!M62)</f>
        <v>1.7817920782991177</v>
      </c>
      <c r="F33" s="191"/>
      <c r="G33" s="190" t="s">
        <v>44</v>
      </c>
      <c r="H33" s="172">
        <f>AVERAGE([6]Regressão_3!L74)</f>
        <v>0.12792206805520781</v>
      </c>
      <c r="I33" s="174">
        <f>AVERAGE([6]Regressão_3!M74)</f>
        <v>2.589547261437418</v>
      </c>
    </row>
    <row r="34" spans="1:9" x14ac:dyDescent="0.25">
      <c r="A34" s="54"/>
      <c r="B34" s="192" t="s">
        <v>76</v>
      </c>
      <c r="C34" s="193" t="s">
        <v>46</v>
      </c>
      <c r="D34" s="163">
        <f>AVERAGE([6]Regressão_3!L15,[6]Regressão_3!L27,[6]Regressão_3!L39,[6]Regressão_3!L51)</f>
        <v>8.2514037408119023E-2</v>
      </c>
      <c r="E34" s="165">
        <f>AVERAGE([6]Regressão_3!M15,[6]Regressão_3!M27,[6]Regressão_3!M39,[6]Regressão_3!M51)</f>
        <v>1.6339296870556974</v>
      </c>
      <c r="F34" s="166" t="s">
        <v>77</v>
      </c>
      <c r="G34" s="156" t="s">
        <v>46</v>
      </c>
      <c r="H34" s="168">
        <f>AVERAGE([6]Regressão_3!L63,[6]Regressão_3!L75)</f>
        <v>7.1902326555689844E-2</v>
      </c>
      <c r="I34" s="169">
        <f>AVERAGE([6]Regressão_3!M63,[6]Regressão_3!M75)</f>
        <v>1.4621844106048105</v>
      </c>
    </row>
    <row r="35" spans="1:9" ht="15.75" thickBot="1" x14ac:dyDescent="0.3">
      <c r="A35" s="54"/>
      <c r="B35" s="194"/>
      <c r="C35" s="190" t="s">
        <v>48</v>
      </c>
      <c r="D35" s="172">
        <f>AVERAGE([6]Regressão_3!L16,[6]Regressão_3!L28,[6]Regressão_3!L40,[6]Regressão_3!L52)</f>
        <v>9.210965189657333E-2</v>
      </c>
      <c r="E35" s="174">
        <f>AVERAGE([6]Regressão_3!M16,[6]Regressão_3!M28,[6]Regressão_3!M40,[6]Regressão_3!M52)</f>
        <v>1.9435960741834899</v>
      </c>
      <c r="F35" s="191"/>
      <c r="G35" s="190" t="s">
        <v>48</v>
      </c>
      <c r="H35" s="172">
        <f>AVERAGE([6]Regressão_3!L64,[6]Regressão_3!L76)</f>
        <v>3.9207267432046708E-2</v>
      </c>
      <c r="I35" s="174">
        <f>AVERAGE([6]Regressão_3!M64,[6]Regressão_3!M76)</f>
        <v>0.78481509501156399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17">
    <mergeCell ref="M1:T2"/>
    <mergeCell ref="X1:AE2"/>
    <mergeCell ref="B4:I4"/>
    <mergeCell ref="B5:I5"/>
    <mergeCell ref="B34:B35"/>
    <mergeCell ref="F34:F35"/>
    <mergeCell ref="B6:E6"/>
    <mergeCell ref="F6:I6"/>
    <mergeCell ref="B8:B17"/>
    <mergeCell ref="F8:F17"/>
    <mergeCell ref="B18:B19"/>
    <mergeCell ref="F18:F19"/>
    <mergeCell ref="B21:I21"/>
    <mergeCell ref="B22:E22"/>
    <mergeCell ref="F22:I22"/>
    <mergeCell ref="B24:B33"/>
    <mergeCell ref="F24:F33"/>
  </mergeCells>
  <pageMargins left="0.7" right="0.7" top="0.75" bottom="0.75" header="0.3" footer="0.3"/>
  <pageSetup paperSize="9" scale="92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1</vt:i4>
      </vt:variant>
    </vt:vector>
  </HeadingPairs>
  <TitlesOfParts>
    <vt:vector size="5" baseType="lpstr">
      <vt:lpstr>Mensais 07-12 MOD's</vt:lpstr>
      <vt:lpstr>Mod_3</vt:lpstr>
      <vt:lpstr>FimOcup._3</vt:lpstr>
      <vt:lpstr>Chillers_3</vt:lpstr>
      <vt:lpstr>Mod_3!Área_de_Impressão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2014-03-05T03:51:01Z</dcterms:created>
  <dcterms:modified xsi:type="dcterms:W3CDTF">2014-05-06T23:04:14Z</dcterms:modified>
</cp:coreProperties>
</file>