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Porto Rabo de Peixe" sheetId="15" r:id="rId1"/>
    <sheet name="Molhe-cais S. Roque tramo Este" sheetId="16" r:id="rId2"/>
    <sheet name="Molhe-cais S. Roque Tramo Oeste" sheetId="18" r:id="rId3"/>
  </sheets>
  <calcPr calcId="125725"/>
</workbook>
</file>

<file path=xl/calcChain.xml><?xml version="1.0" encoding="utf-8"?>
<calcChain xmlns="http://schemas.openxmlformats.org/spreadsheetml/2006/main">
  <c r="DR40" i="18"/>
  <c r="AI40" i="15" l="1"/>
  <c r="AI40" i="16"/>
  <c r="EX40"/>
  <c r="EZ40"/>
  <c r="DP40"/>
  <c r="CZ42"/>
  <c r="CR40"/>
  <c r="EL40" i="15"/>
  <c r="DR40" i="16"/>
  <c r="EH40" i="15"/>
  <c r="EJ40"/>
  <c r="IH40" i="18"/>
  <c r="HM40"/>
  <c r="HJ40"/>
  <c r="HP40" s="1"/>
  <c r="GW40"/>
  <c r="GT40"/>
  <c r="GG40"/>
  <c r="GD40"/>
  <c r="FG40"/>
  <c r="FD40"/>
  <c r="EI40"/>
  <c r="DU40"/>
  <c r="CU40"/>
  <c r="CG40"/>
  <c r="AW27"/>
  <c r="DG26"/>
  <c r="CW26"/>
  <c r="CO26"/>
  <c r="IZ40" s="1"/>
  <c r="BK26"/>
  <c r="BA26"/>
  <c r="BC17" s="1"/>
  <c r="BD17" s="1"/>
  <c r="AU26"/>
  <c r="BY26" s="1"/>
  <c r="AO26"/>
  <c r="AE26"/>
  <c r="AD26"/>
  <c r="AC26"/>
  <c r="AA26"/>
  <c r="V26"/>
  <c r="H26"/>
  <c r="Q26" s="1"/>
  <c r="EJ20"/>
  <c r="EN20" s="1"/>
  <c r="EH20"/>
  <c r="AX17"/>
  <c r="AZ17" s="1"/>
  <c r="EJ16"/>
  <c r="EN16" s="1"/>
  <c r="EH16"/>
  <c r="EJ12"/>
  <c r="EN12" s="1"/>
  <c r="EH12"/>
  <c r="EH8"/>
  <c r="EJ8"/>
  <c r="EN8" s="1"/>
  <c r="HG40" i="16"/>
  <c r="GQ40"/>
  <c r="FJ40"/>
  <c r="EV40"/>
  <c r="DN40"/>
  <c r="DH40"/>
  <c r="CY41"/>
  <c r="CX40"/>
  <c r="CK41"/>
  <c r="CJ40"/>
  <c r="CP40"/>
  <c r="CN40"/>
  <c r="CL41"/>
  <c r="CK41" i="15"/>
  <c r="BV42" i="16"/>
  <c r="BV41"/>
  <c r="BV40"/>
  <c r="Z40"/>
  <c r="X40"/>
  <c r="M40"/>
  <c r="FC26"/>
  <c r="EZ26"/>
  <c r="ET26"/>
  <c r="EQ26"/>
  <c r="EH26"/>
  <c r="ED26"/>
  <c r="DX26"/>
  <c r="DT26"/>
  <c r="DN26"/>
  <c r="DJ26"/>
  <c r="DG26"/>
  <c r="CW26"/>
  <c r="CS26"/>
  <c r="CM26"/>
  <c r="CD26"/>
  <c r="BY26"/>
  <c r="DO41" i="15"/>
  <c r="DN40"/>
  <c r="DF41"/>
  <c r="DF40"/>
  <c r="DH40"/>
  <c r="CX40"/>
  <c r="CR40"/>
  <c r="CP40"/>
  <c r="CK40"/>
  <c r="CL40"/>
  <c r="CL41"/>
  <c r="CJ40"/>
  <c r="CD40"/>
  <c r="CB42"/>
  <c r="CB41"/>
  <c r="CB40"/>
  <c r="BZ40"/>
  <c r="BV42"/>
  <c r="BV41"/>
  <c r="BV40"/>
  <c r="BT41"/>
  <c r="BT40"/>
  <c r="BR40"/>
  <c r="BM40"/>
  <c r="BJ42"/>
  <c r="BJ41"/>
  <c r="BJ40"/>
  <c r="BG40"/>
  <c r="BE41"/>
  <c r="BE40"/>
  <c r="BC40"/>
  <c r="AY40"/>
  <c r="AU40"/>
  <c r="AS40"/>
  <c r="AQ40"/>
  <c r="AF40"/>
  <c r="AD40"/>
  <c r="AB40"/>
  <c r="X40"/>
  <c r="V40"/>
  <c r="S40"/>
  <c r="Q40"/>
  <c r="M40"/>
  <c r="I40"/>
  <c r="C40"/>
  <c r="FS26"/>
  <c r="FP26"/>
  <c r="FJ26"/>
  <c r="FC26"/>
  <c r="EZ26"/>
  <c r="ET26"/>
  <c r="EQ26"/>
  <c r="EH26"/>
  <c r="ED26"/>
  <c r="DX26"/>
  <c r="DT26"/>
  <c r="DN26"/>
  <c r="DJ26"/>
  <c r="DG26"/>
  <c r="DB26"/>
  <c r="CY26"/>
  <c r="CS26"/>
  <c r="CM26"/>
  <c r="CD26"/>
  <c r="BY26"/>
  <c r="K40"/>
  <c r="G40"/>
  <c r="CW26"/>
  <c r="AA26"/>
  <c r="AA26" i="16"/>
  <c r="AO40" i="15"/>
  <c r="JV40"/>
  <c r="HU40" i="16"/>
  <c r="HE40"/>
  <c r="GO40"/>
  <c r="HI40" i="15"/>
  <c r="FP40" i="16"/>
  <c r="GJ40" i="15"/>
  <c r="ED40"/>
  <c r="IH40" i="16"/>
  <c r="HM40"/>
  <c r="HJ40"/>
  <c r="GW40"/>
  <c r="GT40"/>
  <c r="GG40"/>
  <c r="GD40"/>
  <c r="FG40"/>
  <c r="FD40"/>
  <c r="EI40"/>
  <c r="DU40"/>
  <c r="DZ40" s="1"/>
  <c r="CU40"/>
  <c r="CG40"/>
  <c r="AW27"/>
  <c r="CO26"/>
  <c r="IZ40" s="1"/>
  <c r="BK26"/>
  <c r="BA26"/>
  <c r="AU26"/>
  <c r="BG26" s="1"/>
  <c r="AO26"/>
  <c r="AE26"/>
  <c r="AD26"/>
  <c r="AC26"/>
  <c r="CK40"/>
  <c r="V26"/>
  <c r="H26"/>
  <c r="Q26" s="1"/>
  <c r="EJ20"/>
  <c r="EN20" s="1"/>
  <c r="EH20"/>
  <c r="BC17"/>
  <c r="BD17" s="1"/>
  <c r="AX17"/>
  <c r="AZ17" s="1"/>
  <c r="EN16"/>
  <c r="EJ16"/>
  <c r="EH16"/>
  <c r="EP16" s="1"/>
  <c r="EJ12"/>
  <c r="EN12" s="1"/>
  <c r="EH12"/>
  <c r="EH8"/>
  <c r="EJ8"/>
  <c r="EN8" s="1"/>
  <c r="AW27" i="15"/>
  <c r="BG27"/>
  <c r="JB40"/>
  <c r="IG40"/>
  <c r="ID40"/>
  <c r="HQ40"/>
  <c r="HN40"/>
  <c r="HA40"/>
  <c r="GX40"/>
  <c r="GA40"/>
  <c r="FX40"/>
  <c r="GD40" s="1"/>
  <c r="FC40"/>
  <c r="EO40"/>
  <c r="DK40"/>
  <c r="DB40"/>
  <c r="CU40"/>
  <c r="CG40"/>
  <c r="CO26"/>
  <c r="BK26"/>
  <c r="BA26"/>
  <c r="AU26"/>
  <c r="AO26"/>
  <c r="AE26"/>
  <c r="AD26"/>
  <c r="AC26"/>
  <c r="V26"/>
  <c r="H26"/>
  <c r="Q26" s="1"/>
  <c r="EJ20"/>
  <c r="EN20" s="1"/>
  <c r="EH20"/>
  <c r="BC17"/>
  <c r="BD17" s="1"/>
  <c r="AX17"/>
  <c r="AZ17" s="1"/>
  <c r="EN16"/>
  <c r="EJ16"/>
  <c r="EH16"/>
  <c r="EP16" s="1"/>
  <c r="EJ12"/>
  <c r="EN12" s="1"/>
  <c r="EP12" s="1"/>
  <c r="EH12"/>
  <c r="EH8"/>
  <c r="EJ8"/>
  <c r="EN8" s="1"/>
  <c r="EP20" l="1"/>
  <c r="EP12" i="18"/>
  <c r="EP16"/>
  <c r="GJ40"/>
  <c r="GZ40"/>
  <c r="M26"/>
  <c r="BQ26" s="1"/>
  <c r="AW26"/>
  <c r="EP20" i="16"/>
  <c r="EP8" i="18"/>
  <c r="EP20"/>
  <c r="BG35"/>
  <c r="CD26"/>
  <c r="W26"/>
  <c r="BG26"/>
  <c r="DJ26"/>
  <c r="EQ26"/>
  <c r="CJ40" s="1"/>
  <c r="AW28"/>
  <c r="BG28"/>
  <c r="CK40"/>
  <c r="CL40" s="1"/>
  <c r="DB40"/>
  <c r="EP40"/>
  <c r="FJ40"/>
  <c r="FP40"/>
  <c r="GM40"/>
  <c r="HC40"/>
  <c r="HS40"/>
  <c r="IL40"/>
  <c r="JB40"/>
  <c r="AP26"/>
  <c r="AS26"/>
  <c r="DD40"/>
  <c r="DZ40"/>
  <c r="FM40"/>
  <c r="FX40"/>
  <c r="GO40"/>
  <c r="GQ40" s="1"/>
  <c r="HE40"/>
  <c r="HU40"/>
  <c r="DD41"/>
  <c r="DB40" i="16"/>
  <c r="DD41"/>
  <c r="DD40"/>
  <c r="EP12"/>
  <c r="GJ40"/>
  <c r="M26"/>
  <c r="HP40"/>
  <c r="GZ40"/>
  <c r="EP8"/>
  <c r="W26"/>
  <c r="AP26"/>
  <c r="AW26"/>
  <c r="CL40"/>
  <c r="EP40"/>
  <c r="GM40"/>
  <c r="HC40"/>
  <c r="HS40"/>
  <c r="IL40"/>
  <c r="JB40"/>
  <c r="AW28"/>
  <c r="BG28"/>
  <c r="BG30"/>
  <c r="FM40"/>
  <c r="FS40" s="1"/>
  <c r="FX40"/>
  <c r="AW28" i="15"/>
  <c r="M26"/>
  <c r="AS26" s="1"/>
  <c r="BG28"/>
  <c r="BQ26"/>
  <c r="AW26"/>
  <c r="JF40"/>
  <c r="IM40"/>
  <c r="HW40"/>
  <c r="HG40"/>
  <c r="JT40"/>
  <c r="IO40"/>
  <c r="HY40"/>
  <c r="GR40"/>
  <c r="GG40"/>
  <c r="GM40" s="1"/>
  <c r="EP8"/>
  <c r="BG26"/>
  <c r="HK40"/>
  <c r="IQ40"/>
  <c r="W26"/>
  <c r="BE26"/>
  <c r="BF26" s="1"/>
  <c r="BG30"/>
  <c r="ET40"/>
  <c r="HD40"/>
  <c r="HT40"/>
  <c r="IJ40"/>
  <c r="AP26"/>
  <c r="FJ40"/>
  <c r="HG40" i="18" l="1"/>
  <c r="BE26"/>
  <c r="BF26" s="1"/>
  <c r="HW40"/>
  <c r="FS40"/>
  <c r="DN26"/>
  <c r="BG30"/>
  <c r="AL26"/>
  <c r="X26"/>
  <c r="CK41"/>
  <c r="CL41" s="1"/>
  <c r="ET26"/>
  <c r="EZ26"/>
  <c r="FC26" s="1"/>
  <c r="BV42"/>
  <c r="ET41"/>
  <c r="BV41"/>
  <c r="BV40"/>
  <c r="CM26"/>
  <c r="ET40"/>
  <c r="BG34"/>
  <c r="IA40" i="15"/>
  <c r="BE26" i="16"/>
  <c r="BF26" s="1"/>
  <c r="AS26"/>
  <c r="BQ26"/>
  <c r="HW40"/>
  <c r="BG35"/>
  <c r="X26"/>
  <c r="AL26"/>
  <c r="CN40" i="15"/>
  <c r="AL26"/>
  <c r="X26"/>
  <c r="BG35"/>
  <c r="CP40" i="18" l="1"/>
  <c r="CX40"/>
  <c r="DJ41"/>
  <c r="DL40"/>
  <c r="O40"/>
  <c r="BG27"/>
  <c r="CS26"/>
  <c r="DH41"/>
  <c r="BA40"/>
  <c r="Z40"/>
  <c r="X40"/>
  <c r="M40"/>
  <c r="AN26"/>
  <c r="AM26"/>
  <c r="AX26" s="1"/>
  <c r="DT26"/>
  <c r="DH40"/>
  <c r="CY41"/>
  <c r="DJ40"/>
  <c r="CY42"/>
  <c r="CN40"/>
  <c r="AM26" i="16"/>
  <c r="AN26"/>
  <c r="BG34"/>
  <c r="ET41"/>
  <c r="ET40"/>
  <c r="BG31"/>
  <c r="FN41" i="15"/>
  <c r="FN40"/>
  <c r="BG34"/>
  <c r="BG31"/>
  <c r="AN26"/>
  <c r="AM26"/>
  <c r="DT40"/>
  <c r="DZ40"/>
  <c r="DO42"/>
  <c r="DZ42"/>
  <c r="DZ41"/>
  <c r="CZ42" i="18" l="1"/>
  <c r="DD42"/>
  <c r="DB42"/>
  <c r="DB41"/>
  <c r="CZ40"/>
  <c r="CZ41"/>
  <c r="AX28"/>
  <c r="AX27"/>
  <c r="AQ27"/>
  <c r="AQ26"/>
  <c r="CR40"/>
  <c r="DX26"/>
  <c r="ED26" s="1"/>
  <c r="BG31"/>
  <c r="CY26"/>
  <c r="DB26"/>
  <c r="BG29"/>
  <c r="BH29" s="1"/>
  <c r="AO40" s="1"/>
  <c r="AP27"/>
  <c r="BH35"/>
  <c r="BH31"/>
  <c r="BH26"/>
  <c r="BL26"/>
  <c r="BH34"/>
  <c r="BH30"/>
  <c r="BH28"/>
  <c r="BH27"/>
  <c r="AS40" s="1"/>
  <c r="FV40"/>
  <c r="BG33"/>
  <c r="BH33" s="1"/>
  <c r="FJ26"/>
  <c r="EF27"/>
  <c r="DV27"/>
  <c r="DL27"/>
  <c r="DD14"/>
  <c r="CY26" i="16"/>
  <c r="DB26"/>
  <c r="DR40" i="15"/>
  <c r="DP40"/>
  <c r="DJ40" i="16"/>
  <c r="CZ40"/>
  <c r="DJ41"/>
  <c r="DL40"/>
  <c r="DH41"/>
  <c r="CZ41"/>
  <c r="CY42"/>
  <c r="DD42" s="1"/>
  <c r="BA40"/>
  <c r="O40"/>
  <c r="BG27"/>
  <c r="BH27" s="1"/>
  <c r="AS40" s="1"/>
  <c r="AX27"/>
  <c r="AQ27"/>
  <c r="AX26"/>
  <c r="AQ26"/>
  <c r="AX28"/>
  <c r="BG32"/>
  <c r="BH32" s="1"/>
  <c r="BL26"/>
  <c r="BH34"/>
  <c r="BH30"/>
  <c r="BH28"/>
  <c r="BG29"/>
  <c r="BH29" s="1"/>
  <c r="AO40" s="1"/>
  <c r="BH35"/>
  <c r="BH31"/>
  <c r="BH26"/>
  <c r="AP27"/>
  <c r="DV43" i="15"/>
  <c r="DV40"/>
  <c r="DP42"/>
  <c r="DV42"/>
  <c r="DT41"/>
  <c r="DP41"/>
  <c r="DT42"/>
  <c r="BG29"/>
  <c r="AP27"/>
  <c r="BH35"/>
  <c r="BH31"/>
  <c r="BH29"/>
  <c r="BH26"/>
  <c r="BH34"/>
  <c r="BH30"/>
  <c r="BH28"/>
  <c r="BL26"/>
  <c r="BG32"/>
  <c r="BH32" s="1"/>
  <c r="CY41"/>
  <c r="DB41" s="1"/>
  <c r="DR41"/>
  <c r="DR42"/>
  <c r="DV41"/>
  <c r="CZ41"/>
  <c r="CZ40"/>
  <c r="AX28"/>
  <c r="AX27"/>
  <c r="AQ27"/>
  <c r="AX26"/>
  <c r="AQ26"/>
  <c r="ED43"/>
  <c r="ED42"/>
  <c r="ED41"/>
  <c r="O40"/>
  <c r="BH27"/>
  <c r="BA40"/>
  <c r="Z40"/>
  <c r="DF40" i="18" l="1"/>
  <c r="DP40" s="1"/>
  <c r="DN40"/>
  <c r="ED40"/>
  <c r="FP26"/>
  <c r="FS26" s="1"/>
  <c r="EL40" s="1"/>
  <c r="EM41" s="1"/>
  <c r="EP41" s="1"/>
  <c r="DX40"/>
  <c r="GA40"/>
  <c r="IC40" s="1"/>
  <c r="HZ40"/>
  <c r="IP40"/>
  <c r="BW26"/>
  <c r="IR40" s="1"/>
  <c r="IV40" s="1"/>
  <c r="BR40"/>
  <c r="AY40"/>
  <c r="AQ40"/>
  <c r="G40"/>
  <c r="C40"/>
  <c r="BT41"/>
  <c r="BT40"/>
  <c r="AW40"/>
  <c r="BC40"/>
  <c r="A40"/>
  <c r="BI26"/>
  <c r="IF40" s="1"/>
  <c r="IJ40" s="1"/>
  <c r="BJ41"/>
  <c r="CB41" s="1"/>
  <c r="AU40"/>
  <c r="BJ42" s="1"/>
  <c r="CB42" s="1"/>
  <c r="DD19"/>
  <c r="EH26"/>
  <c r="BG32"/>
  <c r="BH32" s="1"/>
  <c r="K40"/>
  <c r="S40" s="1"/>
  <c r="DD9"/>
  <c r="BR40" i="16"/>
  <c r="AW40"/>
  <c r="BT41"/>
  <c r="AY40"/>
  <c r="G40"/>
  <c r="C40"/>
  <c r="EB40" i="15"/>
  <c r="AW40"/>
  <c r="EF40"/>
  <c r="BT40" i="16"/>
  <c r="BC40"/>
  <c r="AQ40"/>
  <c r="DB41"/>
  <c r="DB42"/>
  <c r="BW26"/>
  <c r="IR40" s="1"/>
  <c r="IP40"/>
  <c r="K40"/>
  <c r="BG33"/>
  <c r="BH33" s="1"/>
  <c r="FJ26"/>
  <c r="FV40"/>
  <c r="DL27"/>
  <c r="DV27"/>
  <c r="EF27"/>
  <c r="DD19"/>
  <c r="AU40"/>
  <c r="A40"/>
  <c r="BI26"/>
  <c r="DD14"/>
  <c r="DD40" i="15"/>
  <c r="A40"/>
  <c r="E40" s="1"/>
  <c r="BI26"/>
  <c r="JJ40"/>
  <c r="BW26"/>
  <c r="DD19"/>
  <c r="GP40"/>
  <c r="DV27"/>
  <c r="DD14"/>
  <c r="BG33"/>
  <c r="BH33" s="1"/>
  <c r="EF27"/>
  <c r="DL27"/>
  <c r="DD9"/>
  <c r="DX40"/>
  <c r="BE41" i="18" l="1"/>
  <c r="IT40"/>
  <c r="IX40" s="1"/>
  <c r="X54" s="1"/>
  <c r="W54"/>
  <c r="B54"/>
  <c r="DY41"/>
  <c r="DZ41" s="1"/>
  <c r="EB40" s="1"/>
  <c r="EF40" s="1"/>
  <c r="EN41"/>
  <c r="EN40"/>
  <c r="E40"/>
  <c r="BZ41"/>
  <c r="AD40"/>
  <c r="Q40"/>
  <c r="C54"/>
  <c r="IN40"/>
  <c r="N54" s="1"/>
  <c r="BJ40"/>
  <c r="BE40"/>
  <c r="BG40" s="1"/>
  <c r="JD40"/>
  <c r="AJ54" s="1"/>
  <c r="AI54"/>
  <c r="M54"/>
  <c r="BX40"/>
  <c r="E40" i="16"/>
  <c r="I40" s="1"/>
  <c r="BE40"/>
  <c r="BJ40"/>
  <c r="Q40"/>
  <c r="S40"/>
  <c r="AD40" s="1"/>
  <c r="BE41"/>
  <c r="BX40" i="15"/>
  <c r="BX40" i="16"/>
  <c r="DF40"/>
  <c r="DX40"/>
  <c r="ED40"/>
  <c r="BJ42"/>
  <c r="CB42" s="1"/>
  <c r="BJ41"/>
  <c r="CB41" s="1"/>
  <c r="CB40"/>
  <c r="BZ40"/>
  <c r="BZ41"/>
  <c r="IF40"/>
  <c r="IJ40" s="1"/>
  <c r="C54" s="1"/>
  <c r="FP26"/>
  <c r="FS26" s="1"/>
  <c r="EL40" s="1"/>
  <c r="EM41" s="1"/>
  <c r="EP41" s="1"/>
  <c r="IV40"/>
  <c r="DD9"/>
  <c r="GA40"/>
  <c r="IC40" s="1"/>
  <c r="HZ40"/>
  <c r="JL40" i="15"/>
  <c r="JP40" s="1"/>
  <c r="IZ40"/>
  <c r="JD40" s="1"/>
  <c r="C54" s="1"/>
  <c r="BZ41"/>
  <c r="ER40"/>
  <c r="FF40"/>
  <c r="FG41" s="1"/>
  <c r="FJ41" s="1"/>
  <c r="EX40"/>
  <c r="GU40"/>
  <c r="IW40" s="1"/>
  <c r="M54" s="1"/>
  <c r="IT40"/>
  <c r="B54" s="1"/>
  <c r="BZ40" i="18" l="1"/>
  <c r="BM40"/>
  <c r="BP40" s="1"/>
  <c r="CB40"/>
  <c r="AB40"/>
  <c r="AF40" s="1"/>
  <c r="V40"/>
  <c r="AI40" s="1"/>
  <c r="I40"/>
  <c r="AL40" s="1"/>
  <c r="ER40"/>
  <c r="EX40" s="1"/>
  <c r="EV40"/>
  <c r="EZ40" s="1"/>
  <c r="V40" i="16"/>
  <c r="AB40"/>
  <c r="AF40" s="1"/>
  <c r="AL40" s="1"/>
  <c r="BM40"/>
  <c r="BG40"/>
  <c r="CD40"/>
  <c r="W54"/>
  <c r="B54"/>
  <c r="EN40"/>
  <c r="AI54"/>
  <c r="M54"/>
  <c r="IT40"/>
  <c r="JD40" s="1"/>
  <c r="AJ54" s="1"/>
  <c r="DY41"/>
  <c r="DZ41" s="1"/>
  <c r="EN41"/>
  <c r="IN40"/>
  <c r="N54" s="1"/>
  <c r="JN40" i="15"/>
  <c r="AI54"/>
  <c r="JR40"/>
  <c r="JX40"/>
  <c r="AJ54" s="1"/>
  <c r="W54"/>
  <c r="ES41"/>
  <c r="ET41" s="1"/>
  <c r="EV40" s="1"/>
  <c r="EZ40" s="1"/>
  <c r="FH41"/>
  <c r="FH40"/>
  <c r="JH40"/>
  <c r="N54" s="1"/>
  <c r="AL40"/>
  <c r="CD40" i="18" l="1"/>
  <c r="L54"/>
  <c r="AG54"/>
  <c r="A54"/>
  <c r="V54"/>
  <c r="BP40" i="16"/>
  <c r="BP40" i="15"/>
  <c r="EB40" i="16"/>
  <c r="EF40" s="1"/>
  <c r="IX40"/>
  <c r="X54" s="1"/>
  <c r="ER40"/>
  <c r="FL40" i="15"/>
  <c r="FP40"/>
  <c r="FT40" s="1"/>
  <c r="L54" s="1"/>
  <c r="X54"/>
  <c r="FR40"/>
  <c r="J54" i="18" l="1"/>
  <c r="F54"/>
  <c r="G54" s="1"/>
  <c r="F50" s="1"/>
  <c r="I54"/>
  <c r="O54"/>
  <c r="P54" s="1"/>
  <c r="O50" s="1"/>
  <c r="R54"/>
  <c r="S54"/>
  <c r="AE54"/>
  <c r="AA54"/>
  <c r="AB54" s="1"/>
  <c r="AA50" s="1"/>
  <c r="AD54"/>
  <c r="AK54"/>
  <c r="AL54" s="1"/>
  <c r="AK50" s="1"/>
  <c r="AN54"/>
  <c r="AO54"/>
  <c r="V54" i="15"/>
  <c r="AE54" s="1"/>
  <c r="A54"/>
  <c r="AG54"/>
  <c r="A54" i="16"/>
  <c r="R54" i="15"/>
  <c r="S54"/>
  <c r="O54"/>
  <c r="P54" s="1"/>
  <c r="O50" s="1"/>
  <c r="AA54"/>
  <c r="AB54" s="1"/>
  <c r="AA50" s="1"/>
  <c r="V54" i="16" l="1"/>
  <c r="AG54"/>
  <c r="L54"/>
  <c r="O54" s="1"/>
  <c r="P54" s="1"/>
  <c r="O50" s="1"/>
  <c r="AO54"/>
  <c r="J54"/>
  <c r="F54"/>
  <c r="G54" s="1"/>
  <c r="F50" s="1"/>
  <c r="I54"/>
  <c r="AD54" i="15"/>
  <c r="I54"/>
  <c r="J54"/>
  <c r="F54"/>
  <c r="G54" s="1"/>
  <c r="F50" s="1"/>
  <c r="AN54"/>
  <c r="AO54"/>
  <c r="AK54"/>
  <c r="AL54" s="1"/>
  <c r="AK50" s="1"/>
  <c r="AA54" i="16" l="1"/>
  <c r="AB54" s="1"/>
  <c r="AA50" s="1"/>
  <c r="AE54"/>
  <c r="AD54"/>
  <c r="R54"/>
  <c r="AN54"/>
  <c r="AK54"/>
  <c r="AL54" s="1"/>
  <c r="AK50" s="1"/>
  <c r="S54"/>
</calcChain>
</file>

<file path=xl/sharedStrings.xml><?xml version="1.0" encoding="utf-8"?>
<sst xmlns="http://schemas.openxmlformats.org/spreadsheetml/2006/main" count="1201" uniqueCount="339">
  <si>
    <t>Dados de referência:</t>
  </si>
  <si>
    <t>Perfil</t>
  </si>
  <si>
    <t xml:space="preserve"> </t>
  </si>
  <si>
    <t>Nivel estático da água (SWL) (m)</t>
  </si>
  <si>
    <t>Qual é o manual em que consta a metodologia?</t>
  </si>
  <si>
    <t>Figura 1:</t>
  </si>
  <si>
    <t>Figura 2:</t>
  </si>
  <si>
    <t xml:space="preserve">Verficação da estabilidade contra o deslizamento </t>
  </si>
  <si>
    <r>
      <t>Altura Significativa (H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) (m)</t>
    </r>
  </si>
  <si>
    <t>Período de pico (Tp) (s)</t>
  </si>
  <si>
    <t>Inclinação do talude</t>
  </si>
  <si>
    <t>H</t>
  </si>
  <si>
    <t>V</t>
  </si>
  <si>
    <t>:</t>
  </si>
  <si>
    <t>Profundidade (h) (m)</t>
  </si>
  <si>
    <r>
      <t>Altura de cálculo (H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 (m)</t>
    </r>
  </si>
  <si>
    <t>Comprimento de pico de onda em águas profundas (Lp0) (m)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</si>
  <si>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(m)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</si>
  <si>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 xml:space="preserve">b </t>
    </r>
    <r>
      <rPr>
        <b/>
        <sz val="11"/>
        <color theme="1"/>
        <rFont val="Calibri"/>
        <family val="2"/>
        <scheme val="minor"/>
      </rPr>
      <t>(m)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</si>
  <si>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/H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</si>
  <si>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/H</t>
    </r>
    <r>
      <rPr>
        <b/>
        <vertAlign val="subscript"/>
        <sz val="11"/>
        <color theme="1"/>
        <rFont val="Calibri"/>
        <family val="2"/>
        <scheme val="minor"/>
      </rPr>
      <t>c</t>
    </r>
  </si>
  <si>
    <t>Condições necessárias:</t>
  </si>
  <si>
    <t>1) Se a onda de projeto rebentar antes de atingir o pé de talude do quebra-mar</t>
  </si>
  <si>
    <t xml:space="preserve"> Se Ir &gt; 3. Para este caso, a onda rebenta no talude do quebra-mar como collapsing  ou rebentação de fundo, assegurando que em caso de impacto (devido á rebentação progressiva ou mergulhante) não ocorre.</t>
  </si>
  <si>
    <t>Colocar 1 para a Região de Impacto e 2 para a Região de não impacto</t>
  </si>
  <si>
    <t>Figura 3:</t>
  </si>
  <si>
    <t>Determinação das Pressões de Impacto</t>
  </si>
  <si>
    <t>Determinação da Região de Impacto</t>
  </si>
  <si>
    <t>Porosidade (n)</t>
  </si>
  <si>
    <t>Abaco (fig 3)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</si>
  <si>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>u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</si>
  <si>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u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</si>
  <si>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q </t>
    </r>
    <r>
      <rPr>
        <b/>
        <sz val="11"/>
        <color theme="1"/>
        <rFont val="Calibri"/>
        <family val="2"/>
        <scheme val="minor"/>
      </rPr>
      <t>(º)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</si>
  <si>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(m)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</si>
  <si>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w1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</si>
  <si>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w2</t>
    </r>
  </si>
  <si>
    <t>Figura 4:</t>
  </si>
  <si>
    <t>Determinação das Pressões de Flutuantes</t>
  </si>
  <si>
    <t>Co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</si>
  <si>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w3</t>
    </r>
  </si>
  <si>
    <t>b</t>
  </si>
  <si>
    <t>c</t>
  </si>
  <si>
    <t>a</t>
  </si>
  <si>
    <t>Determinação das Pressões de Impulsão</t>
  </si>
  <si>
    <t>Na extremidade na direção do mar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</si>
  <si>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 xml:space="preserve">n50 </t>
    </r>
    <r>
      <rPr>
        <b/>
        <sz val="11"/>
        <color theme="1"/>
        <rFont val="Calibri"/>
        <family val="2"/>
        <scheme val="minor"/>
      </rPr>
      <t>(m)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</si>
  <si>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/D</t>
    </r>
    <r>
      <rPr>
        <b/>
        <vertAlign val="subscript"/>
        <sz val="11"/>
        <color theme="1"/>
        <rFont val="Calibri"/>
        <family val="2"/>
        <scheme val="minor"/>
      </rPr>
      <t>n50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</si>
  <si>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 xml:space="preserve">f </t>
    </r>
    <r>
      <rPr>
        <b/>
        <sz val="11"/>
        <color theme="1"/>
        <rFont val="Calibri"/>
        <family val="2"/>
        <scheme val="minor"/>
      </rPr>
      <t>(m)</t>
    </r>
  </si>
  <si>
    <t>z=wf (m)</t>
  </si>
  <si>
    <t>Na extremidade oposta á direção do mar</t>
  </si>
  <si>
    <r>
      <t>B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(m)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</si>
  <si>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/L</t>
    </r>
    <r>
      <rPr>
        <b/>
        <vertAlign val="subscript"/>
        <sz val="11"/>
        <color theme="1"/>
        <rFont val="Calibri"/>
        <family val="2"/>
        <scheme val="minor"/>
      </rPr>
      <t>p</t>
    </r>
  </si>
  <si>
    <t>Determinação da configuração da estrutura</t>
  </si>
  <si>
    <t>-Bu</t>
  </si>
  <si>
    <t>Quadro para Interpolações:</t>
  </si>
  <si>
    <t>Parâmetros a, b e c</t>
  </si>
  <si>
    <r>
      <t>Cota de A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(m)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</si>
  <si>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 (Pi (z)) </t>
    </r>
    <r>
      <rPr>
        <b/>
        <sz val="11"/>
        <color theme="1"/>
        <rFont val="Calibri"/>
        <family val="2"/>
        <scheme val="minor"/>
      </rPr>
      <t>(m)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</si>
  <si>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 (Pi (z)=Pso) </t>
    </r>
    <r>
      <rPr>
        <b/>
        <sz val="11"/>
        <color theme="1"/>
        <rFont val="Calibri"/>
        <family val="2"/>
        <scheme val="minor"/>
      </rPr>
      <t>(m)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</si>
  <si>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 (Pp (z)) </t>
    </r>
    <r>
      <rPr>
        <b/>
        <sz val="11"/>
        <color theme="1"/>
        <rFont val="Calibri"/>
        <family val="2"/>
        <scheme val="minor"/>
      </rPr>
      <t>(m)</t>
    </r>
  </si>
  <si>
    <r>
      <t>Largura da fundação B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(m)</t>
    </r>
  </si>
  <si>
    <t>Cota máxima da inflênçia das pressões (m)</t>
  </si>
  <si>
    <t>Determinação dos esforços resultantes das forças horizontais</t>
  </si>
  <si>
    <t>Determinação dos esforços resultantes das forças verticais</t>
  </si>
  <si>
    <t>Esforços provocados pelo peso próprio da estrutura</t>
  </si>
  <si>
    <t>Impulso activo do manto resistente sobre o muro</t>
  </si>
  <si>
    <t>z (m)</t>
  </si>
  <si>
    <r>
      <rPr>
        <b/>
        <sz val="11"/>
        <rFont val="Mathematica1"/>
        <charset val="2"/>
      </rPr>
      <t>g</t>
    </r>
    <r>
      <rPr>
        <b/>
        <sz val="11"/>
        <rFont val="Calibri"/>
        <family val="2"/>
        <scheme val="minor"/>
      </rPr>
      <t xml:space="preserve"> (kN/m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</si>
  <si>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r>
      <t>Cota do manto resistente A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(m)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</si>
  <si>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 xml:space="preserve">w </t>
    </r>
    <r>
      <rPr>
        <b/>
        <sz val="11"/>
        <color theme="1"/>
        <rFont val="Calibri"/>
        <family val="2"/>
        <scheme val="minor"/>
      </rPr>
      <t>(kN/m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</si>
  <si>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 xml:space="preserve">i </t>
    </r>
    <r>
      <rPr>
        <b/>
        <sz val="11"/>
        <color theme="1"/>
        <rFont val="Calibri"/>
        <family val="2"/>
        <scheme val="minor"/>
      </rPr>
      <t>(z)=Pso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(A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+S</t>
    </r>
    <r>
      <rPr>
        <b/>
        <vertAlign val="sub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&gt;z&gt;A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</si>
  <si>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(z)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&lt;z&lt;A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</si>
  <si>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(kN/m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</si>
  <si>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Braço</t>
    </r>
    <r>
      <rPr>
        <b/>
        <vertAlign val="subscript"/>
        <sz val="11"/>
        <color theme="1"/>
        <rFont val="Calibri"/>
        <family val="2"/>
        <scheme val="minor"/>
      </rPr>
      <t xml:space="preserve"> da fundação</t>
    </r>
    <r>
      <rPr>
        <b/>
        <sz val="11"/>
        <color theme="1"/>
        <rFont val="Calibri"/>
        <family val="2"/>
        <scheme val="minor"/>
      </rPr>
      <t xml:space="preserve"> (m)</t>
    </r>
  </si>
  <si>
    <t>Espessura do manto resistente junto ao muro (m)</t>
  </si>
  <si>
    <t>Impulso activo do nucleo sobre o muro</t>
  </si>
  <si>
    <r>
      <t>F</t>
    </r>
    <r>
      <rPr>
        <b/>
        <vertAlign val="subscript"/>
        <sz val="11"/>
        <rFont val="Calibri"/>
        <family val="2"/>
        <scheme val="minor"/>
      </rPr>
      <t>Ia3</t>
    </r>
    <r>
      <rPr>
        <b/>
        <sz val="1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</si>
  <si>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Ia3</t>
    </r>
    <r>
      <rPr>
        <b/>
        <sz val="1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</si>
  <si>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Ia2</t>
    </r>
    <r>
      <rPr>
        <b/>
        <sz val="1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</si>
  <si>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rFont val="Calibri"/>
        <family val="2"/>
        <scheme val="minor"/>
      </rPr>
      <t>Ia2</t>
    </r>
    <r>
      <rPr>
        <b/>
        <sz val="1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</si>
  <si>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Ia1</t>
    </r>
    <r>
      <rPr>
        <b/>
        <sz val="1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</si>
  <si>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rFont val="Calibri"/>
        <family val="2"/>
        <scheme val="minor"/>
      </rPr>
      <t>Ia1</t>
    </r>
    <r>
      <rPr>
        <b/>
        <sz val="11"/>
        <rFont val="Calibri"/>
        <family val="2"/>
        <scheme val="minor"/>
      </rPr>
      <t xml:space="preserve"> (kN/m)</t>
    </r>
  </si>
  <si>
    <r>
      <t>Ka</t>
    </r>
    <r>
      <rPr>
        <b/>
        <vertAlign val="subscript"/>
        <sz val="11"/>
        <rFont val="Calibri"/>
        <family val="2"/>
        <scheme val="minor"/>
      </rPr>
      <t>1</t>
    </r>
  </si>
  <si>
    <r>
      <rPr>
        <b/>
        <sz val="11"/>
        <rFont val="Mathematica1"/>
        <charset val="2"/>
      </rPr>
      <t>g</t>
    </r>
    <r>
      <rPr>
        <b/>
        <vertAlign val="subscript"/>
        <sz val="11"/>
        <rFont val="Mathematica1"/>
        <charset val="2"/>
      </rPr>
      <t>1</t>
    </r>
    <r>
      <rPr>
        <b/>
        <sz val="11"/>
        <rFont val="Calibri"/>
        <family val="2"/>
        <scheme val="minor"/>
      </rPr>
      <t xml:space="preserve"> (kN/m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</si>
  <si>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r>
      <t>z</t>
    </r>
    <r>
      <rPr>
        <b/>
        <vertAlign val="sub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 xml:space="preserve"> (m)</t>
    </r>
  </si>
  <si>
    <r>
      <rPr>
        <b/>
        <sz val="11"/>
        <rFont val="Mathematica1"/>
        <charset val="2"/>
      </rPr>
      <t>f</t>
    </r>
    <r>
      <rPr>
        <b/>
        <sz val="11"/>
        <rFont val="Calibri"/>
        <family val="2"/>
        <scheme val="minor"/>
      </rPr>
      <t>'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</rPr>
      <t xml:space="preserve"> (º)</t>
    </r>
  </si>
  <si>
    <r>
      <t>Ka</t>
    </r>
    <r>
      <rPr>
        <b/>
        <vertAlign val="subscript"/>
        <sz val="11"/>
        <rFont val="Calibri"/>
        <family val="2"/>
        <scheme val="minor"/>
      </rPr>
      <t>2</t>
    </r>
  </si>
  <si>
    <r>
      <rPr>
        <b/>
        <sz val="11"/>
        <rFont val="Mathematica1"/>
        <charset val="2"/>
      </rPr>
      <t>g</t>
    </r>
    <r>
      <rPr>
        <b/>
        <vertAlign val="subscript"/>
        <sz val="11"/>
        <rFont val="Mathematica1"/>
        <charset val="2"/>
      </rPr>
      <t>2</t>
    </r>
    <r>
      <rPr>
        <b/>
        <sz val="11"/>
        <rFont val="Calibri"/>
        <family val="2"/>
        <scheme val="minor"/>
      </rPr>
      <t xml:space="preserve"> (kN/m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</si>
  <si>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r>
      <t>z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(m)</t>
    </r>
  </si>
  <si>
    <r>
      <t>Ka</t>
    </r>
    <r>
      <rPr>
        <b/>
        <vertAlign val="subscript"/>
        <sz val="11"/>
        <rFont val="Calibri"/>
        <family val="2"/>
        <scheme val="minor"/>
      </rPr>
      <t>3</t>
    </r>
  </si>
  <si>
    <r>
      <rPr>
        <b/>
        <sz val="11"/>
        <rFont val="Mathematica1"/>
        <charset val="2"/>
      </rPr>
      <t>g</t>
    </r>
    <r>
      <rPr>
        <b/>
        <vertAlign val="subscript"/>
        <sz val="11"/>
        <rFont val="Mathematica1"/>
        <charset val="2"/>
      </rPr>
      <t>3</t>
    </r>
    <r>
      <rPr>
        <b/>
        <sz val="11"/>
        <rFont val="Calibri"/>
        <family val="2"/>
        <scheme val="minor"/>
      </rPr>
      <t xml:space="preserve"> (kN/m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</si>
  <si>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r>
      <t>z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</si>
  <si>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no topo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</si>
  <si>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na base (m)</t>
    </r>
  </si>
  <si>
    <r>
      <t>Cota da base do muro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</si>
  <si>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de coroamento do muro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</si>
  <si>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do topo do muro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(m)</t>
    </r>
  </si>
  <si>
    <r>
      <t>Altura do muro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</si>
  <si>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do topo do muro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(m)</t>
    </r>
  </si>
  <si>
    <r>
      <t>Altura do muro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</si>
  <si>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da base do muro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</si>
  <si>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no topo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</si>
  <si>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na base (m)</t>
    </r>
  </si>
  <si>
    <r>
      <t>Cota do topo do muro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(m)</t>
    </r>
  </si>
  <si>
    <r>
      <t>Altura do muro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</si>
  <si>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da base do muro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</si>
  <si>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no topo (m)</t>
    </r>
  </si>
  <si>
    <r>
      <t>Espessura do muro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na base (m)</t>
    </r>
  </si>
  <si>
    <t>Região retirada do abaco (fig 2)</t>
  </si>
  <si>
    <r>
      <t>Cota inferior do dente da Fundação 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) (m)</t>
    </r>
  </si>
  <si>
    <t>Comprimento inferior do dente da fundação (wf) (m)</t>
  </si>
  <si>
    <t>Comprimento superior do dente da fundação (wf) (m)</t>
  </si>
  <si>
    <t>Cota inferior da Fundação (m)</t>
  </si>
  <si>
    <r>
      <t>Cota superior da Fundação</t>
    </r>
    <r>
      <rPr>
        <b/>
        <sz val="11"/>
        <color theme="1"/>
        <rFont val="Calibri"/>
        <family val="2"/>
        <scheme val="minor"/>
      </rPr>
      <t xml:space="preserve"> (m)</t>
    </r>
  </si>
  <si>
    <r>
      <t>Cota do superior do dente da Fundação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(m)</t>
    </r>
  </si>
  <si>
    <r>
      <t xml:space="preserve">Altura total </t>
    </r>
    <r>
      <rPr>
        <b/>
        <vertAlign val="subscript"/>
        <sz val="11"/>
        <color theme="1"/>
        <rFont val="Calibri"/>
        <family val="2"/>
        <scheme val="minor"/>
      </rPr>
      <t>(muro+fundação)</t>
    </r>
    <r>
      <rPr>
        <b/>
        <sz val="11"/>
        <color theme="1"/>
        <rFont val="Calibri"/>
        <family val="2"/>
        <scheme val="minor"/>
      </rPr>
      <t xml:space="preserve"> (m)</t>
    </r>
  </si>
  <si>
    <r>
      <t>Altura da Fundação</t>
    </r>
    <r>
      <rPr>
        <b/>
        <sz val="11"/>
        <color theme="1"/>
        <rFont val="Calibri"/>
        <family val="2"/>
        <scheme val="minor"/>
      </rPr>
      <t xml:space="preserve"> (m)</t>
    </r>
  </si>
  <si>
    <t>Cota inferior do manto resistente junto ao muro (m)</t>
  </si>
  <si>
    <t>Distancia entre o topo da fundação e o TOT do lado oposto do muro (m)</t>
  </si>
  <si>
    <t>Cota superior do TOT do lado oposto ao muro (m)</t>
  </si>
  <si>
    <t>Espessura do TOT do lado oposto do muro (m)</t>
  </si>
  <si>
    <t>Cota superior do nucleo junto ao muro (m)</t>
  </si>
  <si>
    <t>Cota superior do nucleo do lado oposto ao muro (m)</t>
  </si>
  <si>
    <r>
      <t>Ia</t>
    </r>
    <r>
      <rPr>
        <b/>
        <vertAlign val="sub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</si>
  <si>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Contribuição do F</t>
    </r>
    <r>
      <rPr>
        <b/>
        <vertAlign val="subscript"/>
        <sz val="11"/>
        <color theme="1"/>
        <rFont val="Calibri"/>
        <family val="2"/>
        <scheme val="minor"/>
      </rPr>
      <t>Ia1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</si>
  <si>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Contribuição do F</t>
    </r>
    <r>
      <rPr>
        <b/>
        <vertAlign val="subscript"/>
        <sz val="11"/>
        <color theme="1"/>
        <rFont val="Calibri"/>
        <family val="2"/>
        <scheme val="minor"/>
      </rPr>
      <t>Ia2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</si>
  <si>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Contribuição do F</t>
    </r>
    <r>
      <rPr>
        <b/>
        <vertAlign val="subscript"/>
        <sz val="11"/>
        <color theme="1"/>
        <rFont val="Calibri"/>
        <family val="2"/>
        <scheme val="minor"/>
      </rPr>
      <t>Ia3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</si>
  <si>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Contribuição da P</t>
    </r>
    <r>
      <rPr>
        <b/>
        <vertAlign val="subscript"/>
        <sz val="11"/>
        <color theme="1"/>
        <rFont val="Calibri"/>
        <family val="2"/>
        <scheme val="minor"/>
      </rPr>
      <t xml:space="preserve">i </t>
    </r>
    <r>
      <rPr>
        <b/>
        <sz val="11"/>
        <color theme="1"/>
        <rFont val="Calibri"/>
        <family val="2"/>
        <scheme val="minor"/>
      </rPr>
      <t>(z)=Pso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(A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+S</t>
    </r>
    <r>
      <rPr>
        <b/>
        <vertAlign val="sub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&gt;z&gt;A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</si>
  <si>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r>
      <t>Contrribuição da P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(z)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&lt;z&lt;A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</si>
  <si>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t>Contribuição da Pp (z) (N/m2)</t>
  </si>
  <si>
    <t>Verficação da estabilidade</t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</si>
  <si>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</si>
  <si>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muro3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</si>
  <si>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</si>
  <si>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(m)</t>
    </r>
  </si>
  <si>
    <r>
      <t>P (z) (N/m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</si>
  <si>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 (z)</t>
    </r>
    <r>
      <rPr>
        <b/>
        <sz val="11"/>
        <color theme="1"/>
        <rFont val="Calibri"/>
        <family val="2"/>
        <scheme val="minor"/>
      </rPr>
      <t xml:space="preserve"> (N/m)</t>
    </r>
  </si>
  <si>
    <t>Cargas rectangulares e quadranguares</t>
  </si>
  <si>
    <r>
      <t>Altura da inflênçia das pressões 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+Ac+So) (m)</t>
    </r>
  </si>
  <si>
    <r>
      <t>Contrribuição da P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(z) (kN/m</t>
    </r>
    <r>
      <rPr>
        <b/>
        <sz val="11"/>
        <color theme="1"/>
        <rFont val="Calibri"/>
        <family val="2"/>
        <scheme val="minor"/>
      </rPr>
      <t>) (w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&lt;z&lt;A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</t>
    </r>
  </si>
  <si>
    <t>Contribuição da Pp (z) (N/m)</t>
  </si>
  <si>
    <t>coeficiente de segurança</t>
  </si>
  <si>
    <r>
      <t xml:space="preserve">S </t>
    </r>
    <r>
      <rPr>
        <b/>
        <sz val="11"/>
        <color theme="1"/>
        <rFont val="Calibri"/>
        <family val="2"/>
        <scheme val="minor"/>
      </rPr>
      <t>forças actuantes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</si>
  <si>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actuantes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</si>
  <si>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actuantes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</si>
  <si>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majoradas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</si>
  <si>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majoradas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</si>
  <si>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majoradas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(kN/m)</t>
    </r>
  </si>
  <si>
    <t>Estimativa da configuração do muro e determinação do peso da muro (Tem que se ter muita atenção aos valores das forças actuantes):</t>
  </si>
  <si>
    <t>Comprimento da fundação no topo (m)</t>
  </si>
  <si>
    <t>Comprimento da fundação na base (m)</t>
  </si>
  <si>
    <r>
      <t>Contribuição do F</t>
    </r>
    <r>
      <rPr>
        <b/>
        <vertAlign val="subscript"/>
        <sz val="11"/>
        <color theme="1"/>
        <rFont val="Calibri"/>
        <family val="2"/>
        <scheme val="minor"/>
      </rPr>
      <t>Ip1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</si>
  <si>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Contribuição do F</t>
    </r>
    <r>
      <rPr>
        <b/>
        <vertAlign val="subscript"/>
        <sz val="11"/>
        <color theme="1"/>
        <rFont val="Calibri"/>
        <family val="2"/>
        <scheme val="minor"/>
      </rPr>
      <t>Ip2</t>
    </r>
    <r>
      <rPr>
        <b/>
        <sz val="11"/>
        <color theme="1"/>
        <rFont val="Calibri"/>
        <family val="2"/>
        <scheme val="minor"/>
      </rPr>
      <t xml:space="preserve"> (kN/m)</t>
    </r>
  </si>
  <si>
    <t>Cargas triangulares</t>
  </si>
  <si>
    <t>Cargas trapezoidais</t>
  </si>
  <si>
    <t>Cálculo auxiliar para determinar as pressões</t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</si>
  <si>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da fundação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</si>
  <si>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actuantes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</si>
  <si>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S </t>
    </r>
    <r>
      <rPr>
        <b/>
        <sz val="11"/>
        <color theme="1"/>
        <rFont val="Calibri"/>
        <family val="2"/>
        <scheme val="minor"/>
      </rPr>
      <t>forças majoradas</t>
    </r>
    <r>
      <rPr>
        <b/>
        <sz val="11"/>
        <color theme="1"/>
        <rFont val="Calibri"/>
        <family val="2"/>
        <scheme val="minor"/>
      </rPr>
      <t xml:space="preserve"> (kN/m)</t>
    </r>
  </si>
  <si>
    <t>Altura da fundação (m)</t>
  </si>
  <si>
    <t>Valores do figura 4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</si>
  <si>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ra</t>
    </r>
    <r>
      <rPr>
        <b/>
        <sz val="11"/>
        <color theme="1"/>
        <rFont val="Calibri"/>
        <family val="2"/>
        <scheme val="minor"/>
      </rPr>
      <t>/P</t>
    </r>
    <r>
      <rPr>
        <b/>
        <vertAlign val="subscript"/>
        <sz val="11"/>
        <color theme="1"/>
        <rFont val="Calibri"/>
        <family val="2"/>
        <scheme val="minor"/>
      </rPr>
      <t xml:space="preserve">re </t>
    </r>
    <r>
      <rPr>
        <b/>
        <sz val="11"/>
        <color theme="1"/>
        <rFont val="Calibri"/>
        <family val="2"/>
        <scheme val="minor"/>
      </rPr>
      <t>(retirado da fig 5)</t>
    </r>
  </si>
  <si>
    <t>Figura 5:</t>
  </si>
  <si>
    <t>Figura 6: Exemplos de muros</t>
  </si>
  <si>
    <t>Figura 7:</t>
  </si>
  <si>
    <t>Impulso passivo do TOT sobre o muro</t>
  </si>
  <si>
    <t>Impulso passivo do nucleo sobre o muro</t>
  </si>
  <si>
    <t>Altura do dente da Fundação (m)</t>
  </si>
  <si>
    <r>
      <t>Braço</t>
    </r>
    <r>
      <rPr>
        <b/>
        <vertAlign val="subscript"/>
        <sz val="11"/>
        <color theme="1"/>
        <rFont val="Calibri"/>
        <family val="2"/>
        <scheme val="minor"/>
      </rPr>
      <t xml:space="preserve"> do dente da fundação1</t>
    </r>
    <r>
      <rPr>
        <b/>
        <sz val="11"/>
        <color theme="1"/>
        <rFont val="Calibri"/>
        <family val="2"/>
        <scheme val="minor"/>
      </rPr>
      <t xml:space="preserve"> (m)</t>
    </r>
  </si>
  <si>
    <r>
      <t>Braço</t>
    </r>
    <r>
      <rPr>
        <b/>
        <vertAlign val="subscript"/>
        <sz val="11"/>
        <color theme="1"/>
        <rFont val="Calibri"/>
        <family val="2"/>
        <scheme val="minor"/>
      </rPr>
      <t xml:space="preserve"> do dente da fundação2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</si>
  <si>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muro1.1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</si>
  <si>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muro1.2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</si>
  <si>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muro2.1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</si>
  <si>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muro2.2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</si>
  <si>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muro3.1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</si>
  <si>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do muro3.2</t>
    </r>
    <r>
      <rPr>
        <b/>
        <sz val="11"/>
        <color theme="1"/>
        <rFont val="Calibri"/>
        <family val="2"/>
        <scheme val="minor"/>
      </rPr>
      <t xml:space="preserve"> (m)</t>
    </r>
  </si>
  <si>
    <r>
      <rPr>
        <b/>
        <sz val="11"/>
        <color theme="1"/>
        <rFont val="Mathematica1"/>
        <charset val="2"/>
      </rPr>
      <t xml:space="preserve">S </t>
    </r>
    <r>
      <rPr>
        <b/>
        <sz val="11"/>
        <color theme="1"/>
        <rFont val="Calibri"/>
        <family val="2"/>
        <scheme val="minor"/>
      </rP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total da estrutura </t>
    </r>
    <r>
      <rPr>
        <b/>
        <sz val="11"/>
        <color theme="1"/>
        <rFont val="Calibri"/>
        <family val="2"/>
        <scheme val="minor"/>
      </rPr>
      <t>(kN/m)</t>
    </r>
  </si>
  <si>
    <t>Esforços do Impulso activo considerado</t>
  </si>
  <si>
    <t>A escolha da ou das soluções tem que ser feita manualmente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</si>
  <si>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Pi (z) = Pso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</si>
  <si>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Pi (z)</t>
    </r>
    <r>
      <rPr>
        <b/>
        <sz val="11"/>
        <color theme="1"/>
        <rFont val="Calibri"/>
        <family val="2"/>
        <scheme val="minor"/>
      </rPr>
      <t xml:space="preserve"> (kN/m)</t>
    </r>
  </si>
  <si>
    <t>Esforços do Impulso passivo considerado</t>
  </si>
  <si>
    <t>Esforços provocados pelas pressões de impacto da onda</t>
  </si>
  <si>
    <t>Esforços provocados pelas pressões flutuantes da onda</t>
  </si>
  <si>
    <r>
      <t>Pi (z)=Pso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</si>
  <si>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(z)=Pso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sz val="11"/>
        <color theme="1"/>
        <rFont val="Calibri"/>
        <family val="2"/>
        <scheme val="minor"/>
      </rPr>
      <t>)</t>
    </r>
  </si>
  <si>
    <r>
      <t>Pi (z)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</si>
  <si>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>1 (z)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</si>
  <si>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>1-2 (z)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</si>
  <si>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>2 (z)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</si>
  <si>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1 pi1-2</t>
    </r>
    <r>
      <rPr>
        <b/>
        <sz val="11"/>
        <color theme="1"/>
        <rFont val="Calibri"/>
        <family val="2"/>
        <scheme val="minor"/>
      </rPr>
      <t xml:space="preserve"> (m)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</si>
  <si>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1-2 pi 2</t>
    </r>
    <r>
      <rPr>
        <b/>
        <sz val="11"/>
        <color theme="1"/>
        <rFont val="Calibri"/>
        <family val="2"/>
        <scheme val="minor"/>
      </rPr>
      <t xml:space="preserve"> (m)</t>
    </r>
  </si>
  <si>
    <t>Muro 1</t>
  </si>
  <si>
    <t>Muro 2</t>
  </si>
  <si>
    <t>Muro 3</t>
  </si>
  <si>
    <t>Fundação</t>
  </si>
  <si>
    <t>Dente</t>
  </si>
  <si>
    <t>Terreno</t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</si>
  <si>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dente da fundação1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</si>
  <si>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dente da fundação2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</si>
  <si>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dente da fundaçãoTotal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</si>
  <si>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muro1.1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</si>
  <si>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muro1.2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</si>
  <si>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Peso</t>
    </r>
    <r>
      <rPr>
        <b/>
        <vertAlign val="subscript"/>
        <sz val="11"/>
        <color theme="1"/>
        <rFont val="Calibri"/>
        <family val="2"/>
        <scheme val="minor"/>
      </rPr>
      <t xml:space="preserve"> do muro1.T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</si>
  <si>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muro2.1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</si>
  <si>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muro2.2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</si>
  <si>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muro2.T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</si>
  <si>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muro3.1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</si>
  <si>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muro3.2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</si>
  <si>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Peso </t>
    </r>
    <r>
      <rPr>
        <b/>
        <vertAlign val="subscript"/>
        <sz val="11"/>
        <color theme="1"/>
        <rFont val="Calibri"/>
        <family val="2"/>
        <scheme val="minor"/>
      </rPr>
      <t>do muro3.T</t>
    </r>
    <r>
      <rPr>
        <b/>
        <sz val="11"/>
        <color theme="1"/>
        <rFont val="Calibri"/>
        <family val="2"/>
        <scheme val="minor"/>
      </rPr>
      <t xml:space="preserve"> (kN/m)</t>
    </r>
  </si>
  <si>
    <t>Esforços de impulsão provocados pelas pressões de impacto da onda</t>
  </si>
  <si>
    <t>Esforços de impulsão provocados pelas pressões flutuantes da onda</t>
  </si>
  <si>
    <r>
      <t>Pi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</si>
  <si>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Pi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</si>
  <si>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 xml:space="preserve">1 </t>
    </r>
    <r>
      <rPr>
        <b/>
        <sz val="11"/>
        <color theme="1"/>
        <rFont val="Calibri"/>
        <family val="2"/>
        <scheme val="minor"/>
      </rPr>
      <t>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</si>
  <si>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</si>
  <si>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 xml:space="preserve">Pp1 - FPp2 </t>
    </r>
    <r>
      <rPr>
        <b/>
        <sz val="11"/>
        <color theme="1"/>
        <rFont val="Calibri"/>
        <family val="2"/>
        <scheme val="minor"/>
      </rPr>
      <t>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</si>
  <si>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Pi1 - Pi2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</si>
  <si>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FPi1 - Pi2</t>
    </r>
    <r>
      <rPr>
        <b/>
        <sz val="11"/>
        <color theme="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</si>
  <si>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 xml:space="preserve">Pp2 </t>
    </r>
    <r>
      <rPr>
        <b/>
        <sz val="11"/>
        <color theme="1"/>
        <rFont val="Calibri"/>
        <family val="2"/>
        <scheme val="minor"/>
      </rPr>
      <t>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</si>
  <si>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 xml:space="preserve">PpTotal </t>
    </r>
    <r>
      <rPr>
        <b/>
        <sz val="11"/>
        <color theme="1"/>
        <rFont val="Calibri"/>
        <family val="2"/>
        <scheme val="minor"/>
      </rPr>
      <t>(kN/m)</t>
    </r>
  </si>
  <si>
    <r>
      <t>Braço F</t>
    </r>
    <r>
      <rPr>
        <b/>
        <vertAlign val="subscript"/>
        <sz val="11"/>
        <color theme="1"/>
        <rFont val="Calibri"/>
        <family val="2"/>
        <scheme val="minor"/>
      </rPr>
      <t>Pp1-Pp2</t>
    </r>
    <r>
      <rPr>
        <b/>
        <sz val="11"/>
        <color theme="1"/>
        <rFont val="Calibri"/>
        <family val="2"/>
        <scheme val="minor"/>
      </rPr>
      <t xml:space="preserve"> (m)</t>
    </r>
  </si>
  <si>
    <r>
      <t>Braço F</t>
    </r>
    <r>
      <rPr>
        <b/>
        <vertAlign val="subscript"/>
        <sz val="11"/>
        <color theme="1"/>
        <rFont val="Calibri"/>
        <family val="2"/>
        <scheme val="minor"/>
      </rPr>
      <t>Pp2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</si>
  <si>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FPi (z)=Pso</t>
    </r>
    <r>
      <rPr>
        <b/>
        <sz val="11"/>
        <color theme="1"/>
        <rFont val="Calibri"/>
        <family val="2"/>
        <scheme val="minor"/>
      </rPr>
      <t xml:space="preserve"> (m)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</si>
  <si>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 xml:space="preserve"> F</t>
    </r>
    <r>
      <rPr>
        <b/>
        <vertAlign val="subscript"/>
        <sz val="11"/>
        <color theme="1"/>
        <rFont val="Calibri"/>
        <family val="2"/>
        <scheme val="minor"/>
      </rPr>
      <t xml:space="preserve">Pi (z) = Pso + 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Pi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</si>
  <si>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Pp1-Pp2 Total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</si>
  <si>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FPp1-2+Pp2 (z)</t>
    </r>
    <r>
      <rPr>
        <b/>
        <sz val="11"/>
        <color theme="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</si>
  <si>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Pp1-2+Pp2 (z)</t>
    </r>
    <r>
      <rPr>
        <b/>
        <sz val="11"/>
        <color theme="1"/>
        <rFont val="Calibri"/>
        <family val="2"/>
        <scheme val="minor"/>
      </rPr>
      <t xml:space="preserve"> (kN/m)</t>
    </r>
  </si>
  <si>
    <t>Figura 8:</t>
  </si>
  <si>
    <t>Figura 9:</t>
  </si>
  <si>
    <t>Figura 10:</t>
  </si>
  <si>
    <r>
      <t>coeficiente de atrito (</t>
    </r>
    <r>
      <rPr>
        <b/>
        <sz val="11"/>
        <color theme="1"/>
        <rFont val="Mathematica1"/>
        <charset val="2"/>
      </rPr>
      <t>m</t>
    </r>
    <r>
      <rPr>
        <b/>
        <sz val="11"/>
        <color theme="1"/>
        <rFont val="Calibri"/>
        <family val="2"/>
      </rPr>
      <t>) (Fig. 8, 9 e 10)</t>
    </r>
  </si>
  <si>
    <r>
      <t>Pp (z)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</si>
  <si>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</si>
  <si>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>(z=wf)</t>
    </r>
    <r>
      <rPr>
        <b/>
        <sz val="11"/>
        <color theme="1"/>
        <rFont val="Calibri"/>
        <family val="2"/>
        <scheme val="minor"/>
      </rPr>
      <t>=P</t>
    </r>
    <r>
      <rPr>
        <b/>
        <vertAlign val="subscript"/>
        <sz val="11"/>
        <color theme="1"/>
        <rFont val="Calibri"/>
        <family val="2"/>
        <scheme val="minor"/>
      </rPr>
      <t>re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</si>
  <si>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=P</t>
    </r>
    <r>
      <rPr>
        <b/>
        <vertAlign val="subscript"/>
        <sz val="11"/>
        <color theme="1"/>
        <rFont val="Calibri"/>
        <family val="2"/>
        <scheme val="minor"/>
      </rPr>
      <t>ra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</si>
  <si>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ra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bscript"/>
        <sz val="11"/>
        <color theme="1"/>
        <rFont val="Calibri"/>
        <family val="2"/>
        <scheme val="minor"/>
      </rPr>
      <t>(z=wf)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</si>
  <si>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M</t>
    </r>
    <r>
      <rPr>
        <b/>
        <vertAlign val="subscript"/>
        <sz val="11"/>
        <rFont val="Calibri"/>
        <family val="2"/>
        <scheme val="minor"/>
      </rPr>
      <t xml:space="preserve">FPi (z) = Pso </t>
    </r>
    <r>
      <rPr>
        <b/>
        <sz val="1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</si>
  <si>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rFont val="Calibri"/>
        <family val="2"/>
        <scheme val="minor"/>
      </rPr>
      <t>FPi (z)</t>
    </r>
    <r>
      <rPr>
        <b/>
        <sz val="11"/>
        <rFont val="Calibri"/>
        <family val="2"/>
        <scheme val="minor"/>
      </rPr>
      <t xml:space="preserve"> (kN.m/m)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</si>
  <si>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 xml:space="preserve"> M</t>
    </r>
    <r>
      <rPr>
        <b/>
        <vertAlign val="subscript"/>
        <sz val="11"/>
        <color theme="1"/>
        <rFont val="Calibri"/>
        <family val="2"/>
        <scheme val="minor"/>
      </rPr>
      <t>FPi (z) = Pso +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bscript"/>
        <sz val="11"/>
        <color theme="1"/>
        <rFont val="Calibri"/>
        <family val="2"/>
        <scheme val="minor"/>
      </rPr>
      <t>FPi (z)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</si>
  <si>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Ia3</t>
    </r>
    <r>
      <rPr>
        <b/>
        <sz val="11"/>
        <rFont val="Calibri"/>
        <family val="2"/>
        <scheme val="minor"/>
      </rPr>
      <t xml:space="preserve"> (kN.m/m)</t>
    </r>
  </si>
  <si>
    <r>
      <t xml:space="preserve">M </t>
    </r>
    <r>
      <rPr>
        <b/>
        <vertAlign val="subscript"/>
        <sz val="11"/>
        <color theme="1"/>
        <rFont val="Calibri"/>
        <family val="2"/>
        <scheme val="minor"/>
      </rPr>
      <t>do dente da fundação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</si>
  <si>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 xml:space="preserve">M </t>
    </r>
    <r>
      <rPr>
        <b/>
        <vertAlign val="subscript"/>
        <sz val="11"/>
        <color theme="1"/>
        <rFont val="Calibri"/>
        <family val="2"/>
        <scheme val="minor"/>
      </rPr>
      <t>Peso da fundação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</si>
  <si>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Peso do muro1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</si>
  <si>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Peso do muro2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</si>
  <si>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Peso do muro3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</si>
  <si>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 xml:space="preserve"> M</t>
    </r>
    <r>
      <rPr>
        <b/>
        <vertAlign val="subscript"/>
        <sz val="11"/>
        <color theme="1"/>
        <rFont val="Calibri"/>
        <family val="2"/>
        <scheme val="minor"/>
      </rPr>
      <t>total da estrutura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</si>
  <si>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Pi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</si>
  <si>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 xml:space="preserve">FPp Total </t>
    </r>
    <r>
      <rPr>
        <b/>
        <sz val="11"/>
        <color theme="1"/>
        <rFont val="Calibri"/>
        <family val="2"/>
        <scheme val="minor"/>
      </rPr>
      <t>(kN.m/m)</t>
    </r>
  </si>
  <si>
    <r>
      <t>Ia</t>
    </r>
    <r>
      <rPr>
        <b/>
        <vertAlign val="subscript"/>
        <sz val="11"/>
        <rFont val="Calibri"/>
        <family val="2"/>
        <scheme val="minor"/>
      </rPr>
      <t>1-2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</si>
  <si>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Ia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</si>
  <si>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Ia</t>
    </r>
    <r>
      <rPr>
        <b/>
        <vertAlign val="subscript"/>
        <sz val="11"/>
        <rFont val="Calibri"/>
        <family val="2"/>
        <scheme val="minor"/>
      </rPr>
      <t>2-3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</si>
  <si>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Ia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</si>
  <si>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Kp</t>
    </r>
    <r>
      <rPr>
        <b/>
        <vertAlign val="subscript"/>
        <sz val="11"/>
        <rFont val="Calibri"/>
        <family val="2"/>
        <scheme val="minor"/>
      </rPr>
      <t>1</t>
    </r>
  </si>
  <si>
    <r>
      <t>Ip</t>
    </r>
    <r>
      <rPr>
        <b/>
        <vertAlign val="sub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 xml:space="preserve"> (kN/m)</t>
    </r>
  </si>
  <si>
    <r>
      <t>Kp</t>
    </r>
    <r>
      <rPr>
        <b/>
        <vertAlign val="subscript"/>
        <sz val="11"/>
        <rFont val="Calibri"/>
        <family val="2"/>
        <scheme val="minor"/>
      </rPr>
      <t>2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</si>
  <si>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Ip1</t>
    </r>
    <r>
      <rPr>
        <b/>
        <sz val="11"/>
        <rFont val="Calibri"/>
        <family val="2"/>
        <scheme val="minor"/>
      </rPr>
      <t xml:space="preserve"> (m)</t>
    </r>
  </si>
  <si>
    <r>
      <t>Ip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(kN/m</t>
    </r>
    <r>
      <rPr>
        <b/>
        <sz val="11"/>
        <rFont val="Calibri"/>
        <family val="2"/>
        <scheme val="minor"/>
      </rPr>
      <t>)</t>
    </r>
  </si>
  <si>
    <r>
      <t>Ip</t>
    </r>
    <r>
      <rPr>
        <b/>
        <vertAlign val="subscript"/>
        <sz val="11"/>
        <rFont val="Calibri"/>
        <family val="2"/>
        <scheme val="minor"/>
      </rPr>
      <t>1-2</t>
    </r>
    <r>
      <rPr>
        <b/>
        <sz val="1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</si>
  <si>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Ip2</t>
    </r>
    <r>
      <rPr>
        <b/>
        <sz val="11"/>
        <rFont val="Calibri"/>
        <family val="2"/>
        <scheme val="minor"/>
      </rPr>
      <t xml:space="preserve"> (m)</t>
    </r>
  </si>
  <si>
    <t>Cota inferior do TOT do lado oposto ao muro (m)</t>
  </si>
  <si>
    <t>Determinação do diâmetro do bloco:</t>
  </si>
  <si>
    <r>
      <t>Di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(m)</t>
    </r>
  </si>
  <si>
    <t>Coeficiente</t>
  </si>
  <si>
    <t>cubos (1) ; tetrápodes (0,65); acrópodes (0,70); dolos (0,54)</t>
  </si>
  <si>
    <t>Peso do bloco (kN)</t>
  </si>
  <si>
    <r>
      <rPr>
        <b/>
        <sz val="11"/>
        <color theme="1"/>
        <rFont val="Mathematica1"/>
        <charset val="2"/>
      </rPr>
      <t>g</t>
    </r>
    <r>
      <rPr>
        <b/>
        <sz val="11"/>
        <color theme="1"/>
        <rFont val="Calibri"/>
        <family val="2"/>
        <scheme val="minor"/>
      </rPr>
      <t xml:space="preserve"> do material (kN/m3)</t>
    </r>
  </si>
  <si>
    <r>
      <t>Número de Iribarren (</t>
    </r>
    <r>
      <rPr>
        <b/>
        <sz val="11"/>
        <color theme="1"/>
        <rFont val="Mathematica1"/>
        <charset val="2"/>
      </rPr>
      <t>x</t>
    </r>
    <r>
      <rPr>
        <b/>
        <vertAlign val="subscript"/>
        <sz val="11"/>
        <color theme="1"/>
        <rFont val="Calibri"/>
        <family val="2"/>
      </rPr>
      <t>0p</t>
    </r>
    <r>
      <rPr>
        <b/>
        <sz val="11"/>
        <color theme="1"/>
        <rFont val="Calibri"/>
        <family val="2"/>
        <scheme val="minor"/>
      </rPr>
      <t>)</t>
    </r>
  </si>
  <si>
    <t xml:space="preserve">Coeficiente de segurança contra o deslizamento </t>
  </si>
  <si>
    <t>Coeficiente de segurança contra o derrubamento</t>
  </si>
  <si>
    <t>Estabilidade contra o derrubamento com base nas forças flutuantes de onda</t>
  </si>
  <si>
    <t>Estabilidade contra o deslizamento com base nas forças flutuantes de onda</t>
  </si>
  <si>
    <t>Estabilidade contra o deslizamento com base nas forças de impacto de onda</t>
  </si>
  <si>
    <t>Estabilidade contra o derrubamento com base nas forças de impacto de onda</t>
  </si>
  <si>
    <r>
      <t>Cota do dente da Fundação (w</t>
    </r>
    <r>
      <rPr>
        <b/>
        <vertAlign val="subscript"/>
        <sz val="11"/>
        <rFont val="Calibri"/>
        <family val="2"/>
        <scheme val="minor"/>
      </rPr>
      <t>f</t>
    </r>
    <r>
      <rPr>
        <b/>
        <sz val="11"/>
        <rFont val="Calibri"/>
        <family val="2"/>
        <scheme val="minor"/>
      </rPr>
      <t>) (m)</t>
    </r>
  </si>
  <si>
    <t>Comprimento de onda local (Lp) (m)</t>
  </si>
  <si>
    <r>
      <t>Declividade de onda (s</t>
    </r>
    <r>
      <rPr>
        <b/>
        <vertAlign val="subscript"/>
        <sz val="11"/>
        <color theme="1"/>
        <rFont val="Calibri"/>
        <family val="2"/>
        <scheme val="minor"/>
      </rPr>
      <t>0p</t>
    </r>
    <r>
      <rPr>
        <b/>
        <sz val="11"/>
        <color theme="1"/>
        <rFont val="Calibri"/>
        <family val="2"/>
        <scheme val="minor"/>
      </rPr>
      <t>)</t>
    </r>
  </si>
  <si>
    <r>
      <t>F</t>
    </r>
    <r>
      <rPr>
        <b/>
        <vertAlign val="subscript"/>
        <sz val="11"/>
        <color rgb="FF0070C0"/>
        <rFont val="Calibri"/>
        <family val="2"/>
        <scheme val="minor"/>
      </rPr>
      <t>TIa</t>
    </r>
    <r>
      <rPr>
        <b/>
        <sz val="11"/>
        <color rgb="FF0070C0"/>
        <rFont val="Calibri"/>
        <family val="2"/>
        <scheme val="minor"/>
      </rPr>
      <t xml:space="preserve"> (kN/m)</t>
    </r>
  </si>
  <si>
    <r>
      <t>M</t>
    </r>
    <r>
      <rPr>
        <b/>
        <vertAlign val="subscript"/>
        <sz val="11"/>
        <color rgb="FF0070C0"/>
        <rFont val="Calibri"/>
        <family val="2"/>
        <scheme val="minor"/>
      </rPr>
      <t>TIa</t>
    </r>
    <r>
      <rPr>
        <b/>
        <sz val="11"/>
        <color rgb="FF0070C0"/>
        <rFont val="Calibri"/>
        <family val="2"/>
        <scheme val="minor"/>
      </rPr>
      <t xml:space="preserve"> (kN.m/m)</t>
    </r>
  </si>
  <si>
    <r>
      <t>F</t>
    </r>
    <r>
      <rPr>
        <b/>
        <vertAlign val="subscript"/>
        <sz val="11"/>
        <color rgb="FF0070C0"/>
        <rFont val="Calibri"/>
        <family val="2"/>
        <scheme val="minor"/>
      </rPr>
      <t>TIp</t>
    </r>
    <r>
      <rPr>
        <b/>
        <sz val="11"/>
        <color rgb="FF0070C0"/>
        <rFont val="Calibri"/>
        <family val="2"/>
        <scheme val="minor"/>
      </rPr>
      <t xml:space="preserve"> (kN/m)</t>
    </r>
  </si>
  <si>
    <r>
      <t>M</t>
    </r>
    <r>
      <rPr>
        <b/>
        <vertAlign val="subscript"/>
        <sz val="11"/>
        <color rgb="FF0070C0"/>
        <rFont val="Calibri"/>
        <family val="2"/>
        <scheme val="minor"/>
      </rPr>
      <t>TIp</t>
    </r>
    <r>
      <rPr>
        <b/>
        <sz val="11"/>
        <color rgb="FF0070C0"/>
        <rFont val="Calibri"/>
        <family val="2"/>
        <scheme val="minor"/>
      </rPr>
      <t xml:space="preserve"> (kN.m/m)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</si>
  <si>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1-2(z)</t>
    </r>
    <r>
      <rPr>
        <b/>
        <sz val="11"/>
        <color theme="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</si>
  <si>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Pi 1-2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</si>
  <si>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2(z)</t>
    </r>
    <r>
      <rPr>
        <b/>
        <sz val="11"/>
        <color theme="1"/>
        <rFont val="Calibri"/>
        <family val="2"/>
        <scheme val="minor"/>
      </rPr>
      <t xml:space="preserve"> (m)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</si>
  <si>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Pi 2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</si>
  <si>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FPi 1-2(z)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</si>
  <si>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FPi 2(z)</t>
    </r>
    <r>
      <rPr>
        <b/>
        <sz val="11"/>
        <color theme="1"/>
        <rFont val="Calibri"/>
        <family val="2"/>
        <scheme val="minor"/>
      </rPr>
      <t xml:space="preserve"> (m)</t>
    </r>
  </si>
  <si>
    <r>
      <t>M</t>
    </r>
    <r>
      <rPr>
        <b/>
        <vertAlign val="subscript"/>
        <sz val="11"/>
        <rFont val="Calibri"/>
        <family val="2"/>
        <scheme val="minor"/>
      </rPr>
      <t>FPi 1-2 (z)</t>
    </r>
    <r>
      <rPr>
        <b/>
        <sz val="1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</si>
  <si>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FPi 2 (z)</t>
    </r>
    <r>
      <rPr>
        <b/>
        <sz val="11"/>
        <rFont val="Calibri"/>
        <family val="2"/>
        <scheme val="minor"/>
      </rPr>
      <t xml:space="preserve"> (kN.m/m)</t>
    </r>
  </si>
  <si>
    <r>
      <t>Pp</t>
    </r>
    <r>
      <rPr>
        <b/>
        <vertAlign val="subscript"/>
        <sz val="11"/>
        <color theme="1"/>
        <rFont val="Calibri"/>
        <family val="2"/>
        <scheme val="minor"/>
      </rPr>
      <t>3 (z)</t>
    </r>
    <r>
      <rPr>
        <b/>
        <sz val="11"/>
        <color theme="1"/>
        <rFont val="Calibri"/>
        <family val="2"/>
        <scheme val="minor"/>
      </rPr>
      <t xml:space="preserve"> (kN/m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</si>
  <si>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Pp1-2+Pp2+Pp3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</si>
  <si>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Pp2-Pp3 Total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</si>
  <si>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 total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</si>
  <si>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FPp1 (z)</t>
    </r>
    <r>
      <rPr>
        <b/>
        <sz val="11"/>
        <color theme="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</si>
  <si>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color theme="1"/>
        <rFont val="Calibri"/>
        <family val="2"/>
        <scheme val="minor"/>
      </rPr>
      <t>FPp2-3 (z)</t>
    </r>
    <r>
      <rPr>
        <b/>
        <sz val="11"/>
        <color theme="1"/>
        <rFont val="Calibri"/>
        <family val="2"/>
        <scheme val="minor"/>
      </rPr>
      <t xml:space="preserve"> (m)</t>
    </r>
  </si>
  <si>
    <r>
      <t>M</t>
    </r>
    <r>
      <rPr>
        <b/>
        <vertAlign val="subscript"/>
        <sz val="11"/>
        <rFont val="Calibri"/>
        <family val="2"/>
        <scheme val="minor"/>
      </rPr>
      <t xml:space="preserve">Pp 1 (z) </t>
    </r>
    <r>
      <rPr>
        <b/>
        <sz val="11"/>
        <rFont val="Calibri"/>
        <family val="2"/>
        <scheme val="minor"/>
      </rPr>
      <t>(kN.m/m)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</si>
  <si>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Pp1 (z)</t>
    </r>
    <r>
      <rPr>
        <b/>
        <sz val="11"/>
        <color theme="1"/>
        <rFont val="Calibri"/>
        <family val="2"/>
        <scheme val="minor"/>
      </rPr>
      <t xml:space="preserve"> (kN/m)</t>
    </r>
  </si>
  <si>
    <r>
      <t>M</t>
    </r>
    <r>
      <rPr>
        <b/>
        <vertAlign val="subscript"/>
        <sz val="11"/>
        <rFont val="Calibri"/>
        <family val="2"/>
        <scheme val="minor"/>
      </rPr>
      <t xml:space="preserve">Pp 1-2 (z) </t>
    </r>
    <r>
      <rPr>
        <b/>
        <sz val="1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</si>
  <si>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rFont val="Calibri"/>
        <family val="2"/>
        <scheme val="minor"/>
      </rPr>
      <t xml:space="preserve">Pp 2-3 (z) </t>
    </r>
    <r>
      <rPr>
        <b/>
        <sz val="1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</si>
  <si>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rFont val="Calibri"/>
        <family val="2"/>
        <scheme val="minor"/>
      </rPr>
      <t>Ia3total</t>
    </r>
    <r>
      <rPr>
        <b/>
        <sz val="11"/>
        <rFont val="Calibri"/>
        <family val="2"/>
        <scheme val="minor"/>
      </rPr>
      <t xml:space="preserve"> (kN.m/m)</t>
    </r>
  </si>
  <si>
    <r>
      <t>Ia</t>
    </r>
    <r>
      <rPr>
        <b/>
        <vertAlign val="subscript"/>
        <sz val="11"/>
        <rFont val="Calibri"/>
        <family val="2"/>
        <scheme val="minor"/>
      </rPr>
      <t>3-4</t>
    </r>
    <r>
      <rPr>
        <b/>
        <sz val="1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</si>
  <si>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Ia3-4</t>
    </r>
    <r>
      <rPr>
        <b/>
        <sz val="11"/>
        <rFont val="Calibri"/>
        <family val="2"/>
        <scheme val="minor"/>
      </rPr>
      <t xml:space="preserve"> (m)</t>
    </r>
  </si>
  <si>
    <r>
      <t>M</t>
    </r>
    <r>
      <rPr>
        <b/>
        <vertAlign val="subscript"/>
        <sz val="11"/>
        <rFont val="Calibri"/>
        <family val="2"/>
        <scheme val="minor"/>
      </rPr>
      <t>Ia3-4</t>
    </r>
    <r>
      <rPr>
        <b/>
        <sz val="11"/>
        <rFont val="Calibri"/>
        <family val="2"/>
        <scheme val="minor"/>
      </rPr>
      <t xml:space="preserve"> (kN.m/m)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</si>
  <si>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pi 2-3 pi 3</t>
    </r>
    <r>
      <rPr>
        <b/>
        <sz val="11"/>
        <color theme="1"/>
        <rFont val="Calibri"/>
        <family val="2"/>
        <scheme val="minor"/>
      </rPr>
      <t xml:space="preserve"> (m)</t>
    </r>
  </si>
  <si>
    <r>
      <t>Ia</t>
    </r>
    <r>
      <rPr>
        <b/>
        <vertAlign val="subscript"/>
        <sz val="11"/>
        <rFont val="Calibri"/>
        <family val="2"/>
        <scheme val="minor"/>
      </rPr>
      <t>2-2</t>
    </r>
    <r>
      <rPr>
        <b/>
        <sz val="11"/>
        <rFont val="Calibri"/>
        <family val="2"/>
        <scheme val="minor"/>
      </rPr>
      <t xml:space="preserve"> (kN/m)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</si>
  <si>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 1-2</t>
    </r>
    <r>
      <rPr>
        <b/>
        <sz val="11"/>
        <rFont val="Calibri"/>
        <family val="2"/>
        <scheme val="minor"/>
      </rPr>
      <t xml:space="preserve"> (m)</t>
    </r>
  </si>
  <si>
    <r>
      <t xml:space="preserve">Braço </t>
    </r>
    <r>
      <rPr>
        <b/>
        <vertAlign val="subscript"/>
        <sz val="11"/>
        <rFont val="Calibri"/>
        <family val="2"/>
        <scheme val="minor"/>
      </rPr>
      <t>Ia 2</t>
    </r>
    <r>
      <rPr>
        <b/>
        <sz val="11"/>
        <rFont val="Calibri"/>
        <family val="2"/>
        <scheme val="minor"/>
      </rPr>
      <t xml:space="preserve"> (m)</t>
    </r>
  </si>
  <si>
    <t>Cota superior da sub camada junto ao muro (m)</t>
  </si>
  <si>
    <t>Espessura da sub camada junto ao muro (m)</t>
  </si>
  <si>
    <t>Cota inferior da sub camada junto ao muro (m)</t>
  </si>
  <si>
    <t>Impulso activo da sub camada sobre o muro</t>
  </si>
  <si>
    <r>
      <t>Altura do manto resistente A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  <r>
      <rPr>
        <b/>
        <sz val="11"/>
        <color theme="1"/>
        <rFont val="Calibri"/>
        <family val="2"/>
        <scheme val="minor"/>
      </rPr>
      <t>(m)</t>
    </r>
  </si>
  <si>
    <r>
      <t>M</t>
    </r>
    <r>
      <rPr>
        <b/>
        <vertAlign val="subscript"/>
        <sz val="11"/>
        <rFont val="Calibri"/>
        <family val="2"/>
        <scheme val="minor"/>
      </rPr>
      <t>Ia2</t>
    </r>
    <r>
      <rPr>
        <b/>
        <sz val="11"/>
        <rFont val="Calibri"/>
        <family val="2"/>
        <scheme val="minor"/>
      </rPr>
      <t xml:space="preserve"> </t>
    </r>
    <r>
      <rPr>
        <b/>
        <vertAlign val="subscript"/>
        <sz val="11"/>
        <rFont val="Calibri"/>
        <family val="2"/>
        <scheme val="minor"/>
      </rPr>
      <t xml:space="preserve">total </t>
    </r>
    <r>
      <rPr>
        <b/>
        <sz val="11"/>
        <rFont val="Calibri"/>
        <family val="2"/>
        <scheme val="minor"/>
      </rPr>
      <t>(kN.m/m)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</si>
  <si>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 xml:space="preserve">Grav. </t>
    </r>
    <r>
      <rPr>
        <b/>
        <sz val="11"/>
        <color theme="1"/>
        <rFont val="Calibri"/>
        <family val="2"/>
        <scheme val="minor"/>
      </rPr>
      <t>(kN/m)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</si>
  <si>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 xml:space="preserve">Hor. </t>
    </r>
    <r>
      <rPr>
        <b/>
        <sz val="11"/>
        <color theme="1"/>
        <rFont val="Calibri"/>
        <family val="2"/>
        <scheme val="minor"/>
      </rPr>
      <t>(kN/m)</t>
    </r>
  </si>
  <si>
    <r>
      <rPr>
        <b/>
        <sz val="11"/>
        <color theme="1"/>
        <rFont val="Mathematica1"/>
        <charset val="2"/>
      </rPr>
      <t>S</t>
    </r>
    <r>
      <rPr>
        <b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 xml:space="preserve">Imp. </t>
    </r>
    <r>
      <rPr>
        <b/>
        <sz val="11"/>
        <color theme="1"/>
        <rFont val="Calibri"/>
        <family val="2"/>
        <scheme val="minor"/>
      </rPr>
      <t>(kN/m)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</si>
  <si>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 xml:space="preserve">FHor. </t>
    </r>
    <r>
      <rPr>
        <b/>
        <sz val="11"/>
        <color theme="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</si>
  <si>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 xml:space="preserve">FGrav. </t>
    </r>
    <r>
      <rPr>
        <b/>
        <sz val="11"/>
        <color theme="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</si>
  <si>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FImp.</t>
    </r>
    <r>
      <rPr>
        <b/>
        <sz val="11"/>
        <color theme="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</si>
  <si>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Ia2 total</t>
    </r>
    <r>
      <rPr>
        <b/>
        <sz val="1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</si>
  <si>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Ia2</t>
    </r>
    <r>
      <rPr>
        <b/>
        <sz val="11"/>
        <rFont val="Calibri"/>
        <family val="2"/>
        <scheme val="minor"/>
      </rPr>
      <t xml:space="preserve"> </t>
    </r>
    <r>
      <rPr>
        <b/>
        <vertAlign val="subscript"/>
        <sz val="11"/>
        <rFont val="Calibri"/>
        <family val="2"/>
        <scheme val="minor"/>
      </rPr>
      <t>total</t>
    </r>
    <r>
      <rPr>
        <b/>
        <sz val="1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</si>
  <si>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 xml:space="preserve">Pp (z) total </t>
    </r>
    <r>
      <rPr>
        <b/>
        <sz val="11"/>
        <rFont val="Calibri"/>
        <family val="2"/>
        <scheme val="minor"/>
      </rPr>
      <t>(kN.m/m)</t>
    </r>
  </si>
  <si>
    <r>
      <t>M</t>
    </r>
    <r>
      <rPr>
        <b/>
        <vertAlign val="subscript"/>
        <sz val="11"/>
        <rFont val="Calibri"/>
        <family val="2"/>
        <scheme val="minor"/>
      </rPr>
      <t>Ia1</t>
    </r>
    <r>
      <rPr>
        <b/>
        <sz val="11"/>
        <rFont val="Calibri"/>
        <family val="2"/>
        <scheme val="minor"/>
      </rPr>
      <t xml:space="preserve"> </t>
    </r>
    <r>
      <rPr>
        <b/>
        <vertAlign val="subscript"/>
        <sz val="11"/>
        <rFont val="Calibri"/>
        <family val="2"/>
        <scheme val="minor"/>
      </rPr>
      <t>total</t>
    </r>
    <r>
      <rPr>
        <b/>
        <sz val="1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</si>
  <si>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Ia1 total</t>
    </r>
    <r>
      <rPr>
        <b/>
        <sz val="11"/>
        <rFont val="Calibri"/>
        <family val="2"/>
        <scheme val="minor"/>
      </rPr>
      <t xml:space="preserve"> (kN.m/m)</t>
    </r>
  </si>
  <si>
    <r>
      <t>M</t>
    </r>
    <r>
      <rPr>
        <b/>
        <vertAlign val="subscript"/>
        <sz val="11"/>
        <rFont val="Calibri"/>
        <family val="2"/>
        <scheme val="minor"/>
      </rPr>
      <t>Ip1 total</t>
    </r>
    <r>
      <rPr>
        <b/>
        <sz val="11"/>
        <rFont val="Calibri"/>
        <family val="2"/>
        <scheme val="minor"/>
      </rPr>
      <t xml:space="preserve"> (kN.m/m)</t>
    </r>
  </si>
  <si>
    <r>
      <t>F</t>
    </r>
    <r>
      <rPr>
        <b/>
        <vertAlign val="subscript"/>
        <sz val="11"/>
        <rFont val="Calibri"/>
        <family val="2"/>
        <scheme val="minor"/>
      </rPr>
      <t>Ip1 total</t>
    </r>
    <r>
      <rPr>
        <b/>
        <sz val="11"/>
        <rFont val="Calibri"/>
        <family val="2"/>
        <scheme val="minor"/>
      </rPr>
      <t xml:space="preserve"> (kN/m)</t>
    </r>
  </si>
  <si>
    <r>
      <t>F</t>
    </r>
    <r>
      <rPr>
        <b/>
        <vertAlign val="subscript"/>
        <sz val="11"/>
        <rFont val="Calibri"/>
        <family val="2"/>
        <scheme val="minor"/>
      </rPr>
      <t>Ip2 total</t>
    </r>
    <r>
      <rPr>
        <b/>
        <sz val="11"/>
        <rFont val="Calibri"/>
        <family val="2"/>
        <scheme val="minor"/>
      </rPr>
      <t xml:space="preserve"> (kN/m)</t>
    </r>
  </si>
  <si>
    <r>
      <t>M</t>
    </r>
    <r>
      <rPr>
        <b/>
        <vertAlign val="subscript"/>
        <sz val="11"/>
        <rFont val="Calibri"/>
        <family val="2"/>
        <scheme val="minor"/>
      </rPr>
      <t>Ip2 total</t>
    </r>
    <r>
      <rPr>
        <b/>
        <sz val="11"/>
        <rFont val="Calibri"/>
        <family val="2"/>
        <scheme val="minor"/>
      </rPr>
      <t xml:space="preserve"> (kN.m/m)</t>
    </r>
  </si>
  <si>
    <t>3) Para os outros casos, Martin (1995) propôs a Figura 2 onde as regiões das situações de impacto e de não impacto são empiricamente delimitada como uma função da largura relativa da berma (Bb/H) e a altura relativa da crista da berma (Ac/H) , onde Bb é o comprimento da berma e Ac é a altura da crista da berma, acima do nível do mar de projeto.</t>
  </si>
  <si>
    <t>Qual é a metodologia de cálculo?</t>
  </si>
  <si>
    <r>
      <t xml:space="preserve">Martín </t>
    </r>
    <r>
      <rPr>
        <i/>
        <sz val="12"/>
        <color theme="1"/>
        <rFont val="Times New Roman"/>
        <family val="1"/>
      </rPr>
      <t>et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al</t>
    </r>
    <r>
      <rPr>
        <sz val="12"/>
        <color theme="1"/>
        <rFont val="Times New Roman"/>
        <family val="1"/>
      </rPr>
      <t>. (1999)</t>
    </r>
  </si>
  <si>
    <t>Proverbs / Rock Manual</t>
  </si>
  <si>
    <r>
      <rPr>
        <b/>
        <sz val="18"/>
        <color theme="1"/>
        <rFont val="Times New Roman"/>
        <family val="1"/>
      </rPr>
      <t xml:space="preserve">Dimensionamento de muro-cortina pelo método de Martín </t>
    </r>
    <r>
      <rPr>
        <b/>
        <i/>
        <sz val="18"/>
        <color theme="1"/>
        <rFont val="Times New Roman"/>
        <family val="1"/>
      </rPr>
      <t>et al.</t>
    </r>
    <r>
      <rPr>
        <b/>
        <sz val="18"/>
        <color theme="1"/>
        <rFont val="Times New Roman"/>
        <family val="1"/>
      </rPr>
      <t xml:space="preserve"> (1999) aplicado ao projeto de Ampliação do Porto de Pesca de Rabo de Peixe, Ilha de São Miguel, Açores</t>
    </r>
  </si>
  <si>
    <r>
      <rPr>
        <b/>
        <sz val="18"/>
        <color theme="1"/>
        <rFont val="Times New Roman"/>
        <family val="1"/>
      </rPr>
      <t xml:space="preserve">Dimensionamento de muro-cortina pelo método de Martín </t>
    </r>
    <r>
      <rPr>
        <b/>
        <i/>
        <sz val="18"/>
        <color theme="1"/>
        <rFont val="Times New Roman"/>
        <family val="1"/>
      </rPr>
      <t>et al.</t>
    </r>
    <r>
      <rPr>
        <b/>
        <sz val="18"/>
        <color theme="1"/>
        <rFont val="Times New Roman"/>
        <family val="1"/>
      </rPr>
      <t xml:space="preserve"> (1999) aplicado ao projeto do Molhe-cais do do Terminal de Passageiros de São Roque do Pico, Ilha do Pico, Arquipélago dos Açores, Tramo Oeste.</t>
    </r>
  </si>
  <si>
    <r>
      <rPr>
        <b/>
        <sz val="18"/>
        <color theme="1"/>
        <rFont val="Times New Roman"/>
        <family val="1"/>
      </rPr>
      <t xml:space="preserve">Dimensionamento de muro-cortina pelo método de Martín </t>
    </r>
    <r>
      <rPr>
        <b/>
        <i/>
        <sz val="18"/>
        <color theme="1"/>
        <rFont val="Times New Roman"/>
        <family val="1"/>
      </rPr>
      <t>et al.</t>
    </r>
    <r>
      <rPr>
        <b/>
        <sz val="18"/>
        <color theme="1"/>
        <rFont val="Times New Roman"/>
        <family val="1"/>
      </rPr>
      <t xml:space="preserve"> (1999) aplicado ao projeto do Molhe-cais do do Terminal de Passageiros de São Roque do Pico, Ilha do Pico, Arquipélago dos Açores, Tramo Este.</t>
    </r>
  </si>
  <si>
    <r>
      <rPr>
        <b/>
        <sz val="11"/>
        <rFont val="Mathematica1"/>
        <charset val="2"/>
      </rPr>
      <t>f</t>
    </r>
    <r>
      <rPr>
        <b/>
        <vertAlign val="subscript"/>
        <sz val="11"/>
        <rFont val="Calibri"/>
        <family val="2"/>
        <scheme val="minor"/>
      </rPr>
      <t>1</t>
    </r>
    <r>
      <rPr>
        <b/>
        <sz val="11"/>
        <rFont val="Calibri"/>
        <family val="2"/>
      </rPr>
      <t xml:space="preserve"> (º)</t>
    </r>
  </si>
  <si>
    <r>
      <rPr>
        <b/>
        <sz val="11"/>
        <rFont val="Mathematica1"/>
        <charset val="2"/>
      </rPr>
      <t>f</t>
    </r>
    <r>
      <rPr>
        <b/>
        <vertAlign val="subscript"/>
        <sz val="11"/>
        <rFont val="Calibri"/>
        <family val="2"/>
      </rPr>
      <t>1</t>
    </r>
    <r>
      <rPr>
        <b/>
        <sz val="11"/>
        <rFont val="Calibri"/>
        <family val="2"/>
      </rPr>
      <t xml:space="preserve"> (º)</t>
    </r>
  </si>
  <si>
    <r>
      <rPr>
        <b/>
        <sz val="11"/>
        <rFont val="Mathematica1"/>
        <charset val="2"/>
      </rPr>
      <t>f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</rPr>
      <t xml:space="preserve"> (º)</t>
    </r>
  </si>
  <si>
    <r>
      <rPr>
        <b/>
        <sz val="11"/>
        <rFont val="Mathematica1"/>
        <charset val="2"/>
      </rPr>
      <t>f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</rPr>
      <t xml:space="preserve"> (º)</t>
    </r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</si>
</sst>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E+00"/>
    <numFmt numFmtId="166" formatCode="0.00000000000"/>
    <numFmt numFmtId="167" formatCode="0.000000000000000"/>
    <numFmt numFmtId="168" formatCode="0.00000000000000000"/>
    <numFmt numFmtId="169" formatCode="0.0"/>
  </numFmts>
  <fonts count="3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2"/>
    </font>
    <font>
      <b/>
      <sz val="11"/>
      <color theme="1"/>
      <name val="Mathematica1"/>
      <charset val="2"/>
    </font>
    <font>
      <b/>
      <vertAlign val="superscript"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name val="Mathematica1"/>
      <charset val="2"/>
    </font>
    <font>
      <b/>
      <sz val="11"/>
      <name val="Calibri"/>
      <family val="2"/>
    </font>
    <font>
      <b/>
      <vertAlign val="superscript"/>
      <sz val="11"/>
      <name val="Calibri"/>
      <family val="2"/>
      <scheme val="minor"/>
    </font>
    <font>
      <b/>
      <vertAlign val="subscript"/>
      <sz val="11"/>
      <name val="Mathematica1"/>
      <charset val="2"/>
    </font>
    <font>
      <b/>
      <sz val="11"/>
      <color rgb="FF0070C0"/>
      <name val="Calibri"/>
      <family val="2"/>
      <scheme val="minor"/>
    </font>
    <font>
      <b/>
      <vertAlign val="subscript"/>
      <sz val="11"/>
      <color rgb="FF0070C0"/>
      <name val="Calibri"/>
      <family val="2"/>
      <scheme val="minor"/>
    </font>
    <font>
      <b/>
      <vertAlign val="subscript"/>
      <sz val="11"/>
      <name val="Calibri"/>
      <family val="2"/>
    </font>
    <font>
      <sz val="11"/>
      <color rgb="FF92D050"/>
      <name val="Calibri"/>
      <family val="2"/>
      <scheme val="minor"/>
    </font>
    <font>
      <b/>
      <sz val="14"/>
      <name val="Times New Roman"/>
      <family val="1"/>
    </font>
    <font>
      <b/>
      <vertAlign val="subscript"/>
      <sz val="11"/>
      <color theme="1"/>
      <name val="Calibri"/>
      <family val="2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4" fontId="0" fillId="5" borderId="59" xfId="0" applyNumberForma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/>
    <xf numFmtId="164" fontId="0" fillId="4" borderId="10" xfId="0" applyNumberFormat="1" applyFill="1" applyBorder="1" applyAlignment="1">
      <alignment horizontal="center" vertical="center"/>
    </xf>
    <xf numFmtId="164" fontId="13" fillId="4" borderId="17" xfId="0" quotePrefix="1" applyNumberFormat="1" applyFont="1" applyFill="1" applyBorder="1" applyAlignment="1">
      <alignment horizontal="center" vertical="center"/>
    </xf>
    <xf numFmtId="164" fontId="13" fillId="4" borderId="59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164" fontId="13" fillId="4" borderId="58" xfId="0" applyNumberFormat="1" applyFont="1" applyFill="1" applyBorder="1" applyAlignment="1">
      <alignment horizontal="center" vertical="center"/>
    </xf>
    <xf numFmtId="164" fontId="13" fillId="4" borderId="60" xfId="0" applyNumberFormat="1" applyFont="1" applyFill="1" applyBorder="1" applyAlignment="1">
      <alignment horizontal="center" vertical="center"/>
    </xf>
    <xf numFmtId="164" fontId="13" fillId="4" borderId="61" xfId="0" applyNumberFormat="1" applyFont="1" applyFill="1" applyBorder="1" applyAlignment="1">
      <alignment horizontal="center" vertical="center"/>
    </xf>
    <xf numFmtId="164" fontId="13" fillId="4" borderId="62" xfId="0" applyNumberFormat="1" applyFont="1" applyFill="1" applyBorder="1" applyAlignment="1">
      <alignment horizontal="center" vertical="center"/>
    </xf>
    <xf numFmtId="164" fontId="13" fillId="0" borderId="53" xfId="0" applyNumberFormat="1" applyFont="1" applyFill="1" applyBorder="1" applyAlignment="1">
      <alignment horizontal="center" vertical="center"/>
    </xf>
    <xf numFmtId="164" fontId="0" fillId="0" borderId="71" xfId="0" applyNumberFormat="1" applyFont="1" applyFill="1" applyBorder="1" applyAlignment="1">
      <alignment horizontal="center" vertical="center"/>
    </xf>
    <xf numFmtId="164" fontId="0" fillId="4" borderId="53" xfId="0" applyNumberFormat="1" applyFont="1" applyFill="1" applyBorder="1" applyAlignment="1">
      <alignment horizontal="center" vertical="center"/>
    </xf>
    <xf numFmtId="164" fontId="0" fillId="0" borderId="53" xfId="0" applyNumberFormat="1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53" xfId="0" applyFont="1" applyBorder="1" applyAlignment="1">
      <alignment horizontal="right" vertical="center"/>
    </xf>
    <xf numFmtId="0" fontId="0" fillId="4" borderId="53" xfId="0" applyFont="1" applyFill="1" applyBorder="1" applyAlignment="1">
      <alignment horizontal="center" vertical="center"/>
    </xf>
    <xf numFmtId="0" fontId="0" fillId="0" borderId="53" xfId="0" applyFont="1" applyBorder="1" applyAlignment="1">
      <alignment horizontal="left" vertical="center"/>
    </xf>
    <xf numFmtId="2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64" fontId="0" fillId="4" borderId="19" xfId="0" applyNumberFormat="1" applyFont="1" applyFill="1" applyBorder="1" applyAlignment="1">
      <alignment horizontal="center" vertical="center"/>
    </xf>
    <xf numFmtId="164" fontId="0" fillId="4" borderId="14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5" xfId="0" quotePrefix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left" vertical="center" wrapText="1"/>
    </xf>
    <xf numFmtId="164" fontId="0" fillId="0" borderId="73" xfId="0" applyNumberFormat="1" applyFont="1" applyFill="1" applyBorder="1" applyAlignment="1">
      <alignment horizontal="center" vertical="center"/>
    </xf>
    <xf numFmtId="164" fontId="13" fillId="4" borderId="18" xfId="0" applyNumberFormat="1" applyFont="1" applyFill="1" applyBorder="1" applyAlignment="1">
      <alignment horizontal="center" vertical="center"/>
    </xf>
    <xf numFmtId="164" fontId="13" fillId="4" borderId="80" xfId="0" applyNumberFormat="1" applyFont="1" applyFill="1" applyBorder="1" applyAlignment="1">
      <alignment horizontal="center" vertical="center"/>
    </xf>
    <xf numFmtId="164" fontId="0" fillId="0" borderId="59" xfId="0" applyNumberFormat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0" fontId="2" fillId="5" borderId="86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Fill="1"/>
    <xf numFmtId="0" fontId="17" fillId="5" borderId="19" xfId="0" applyFont="1" applyFill="1" applyBorder="1" applyAlignment="1">
      <alignment horizontal="center" wrapText="1"/>
    </xf>
    <xf numFmtId="0" fontId="0" fillId="0" borderId="22" xfId="0" applyBorder="1"/>
    <xf numFmtId="164" fontId="0" fillId="0" borderId="22" xfId="0" applyNumberFormat="1" applyBorder="1" applyAlignment="1"/>
    <xf numFmtId="164" fontId="0" fillId="4" borderId="95" xfId="0" applyNumberFormat="1" applyFill="1" applyBorder="1" applyAlignment="1">
      <alignment horizontal="center" vertical="center"/>
    </xf>
    <xf numFmtId="164" fontId="0" fillId="0" borderId="0" xfId="0" applyNumberFormat="1" applyBorder="1" applyAlignment="1"/>
    <xf numFmtId="0" fontId="20" fillId="5" borderId="55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 wrapText="1"/>
    </xf>
    <xf numFmtId="164" fontId="0" fillId="4" borderId="98" xfId="0" applyNumberFormat="1" applyFill="1" applyBorder="1" applyAlignment="1">
      <alignment horizontal="center" vertical="center"/>
    </xf>
    <xf numFmtId="164" fontId="0" fillId="4" borderId="99" xfId="0" applyNumberFormat="1" applyFill="1" applyBorder="1" applyAlignment="1">
      <alignment horizontal="center" vertical="center"/>
    </xf>
    <xf numFmtId="164" fontId="0" fillId="4" borderId="100" xfId="0" applyNumberFormat="1" applyFill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164" fontId="16" fillId="0" borderId="30" xfId="0" applyNumberFormat="1" applyFont="1" applyBorder="1" applyAlignment="1">
      <alignment horizontal="center" vertical="center"/>
    </xf>
    <xf numFmtId="164" fontId="16" fillId="0" borderId="101" xfId="0" applyNumberFormat="1" applyFont="1" applyBorder="1" applyAlignment="1">
      <alignment horizontal="center" vertical="center"/>
    </xf>
    <xf numFmtId="0" fontId="2" fillId="2" borderId="102" xfId="0" applyFont="1" applyFill="1" applyBorder="1"/>
    <xf numFmtId="0" fontId="2" fillId="2" borderId="103" xfId="0" applyFont="1" applyFill="1" applyBorder="1"/>
    <xf numFmtId="0" fontId="2" fillId="2" borderId="97" xfId="0" applyFont="1" applyFill="1" applyBorder="1"/>
    <xf numFmtId="164" fontId="16" fillId="0" borderId="22" xfId="0" applyNumberFormat="1" applyFont="1" applyBorder="1" applyAlignment="1"/>
    <xf numFmtId="164" fontId="16" fillId="0" borderId="0" xfId="0" applyNumberFormat="1" applyFont="1" applyBorder="1" applyAlignment="1"/>
    <xf numFmtId="0" fontId="16" fillId="0" borderId="0" xfId="0" applyFont="1"/>
    <xf numFmtId="164" fontId="16" fillId="0" borderId="0" xfId="0" applyNumberFormat="1" applyFont="1"/>
    <xf numFmtId="164" fontId="13" fillId="4" borderId="71" xfId="0" applyNumberFormat="1" applyFont="1" applyFill="1" applyBorder="1" applyAlignment="1">
      <alignment horizontal="center" vertical="center"/>
    </xf>
    <xf numFmtId="164" fontId="13" fillId="4" borderId="73" xfId="0" applyNumberFormat="1" applyFont="1" applyFill="1" applyBorder="1" applyAlignment="1">
      <alignment horizontal="center" vertical="center"/>
    </xf>
    <xf numFmtId="164" fontId="13" fillId="4" borderId="66" xfId="0" applyNumberFormat="1" applyFont="1" applyFill="1" applyBorder="1" applyAlignment="1">
      <alignment horizontal="center"/>
    </xf>
    <xf numFmtId="0" fontId="0" fillId="0" borderId="105" xfId="0" applyBorder="1" applyAlignment="1">
      <alignment horizontal="center" vertical="center"/>
    </xf>
    <xf numFmtId="0" fontId="2" fillId="5" borderId="106" xfId="0" applyFont="1" applyFill="1" applyBorder="1" applyAlignment="1">
      <alignment horizontal="center" vertical="center" wrapText="1"/>
    </xf>
    <xf numFmtId="164" fontId="13" fillId="4" borderId="108" xfId="0" applyNumberFormat="1" applyFont="1" applyFill="1" applyBorder="1" applyAlignment="1">
      <alignment horizontal="center" vertical="center"/>
    </xf>
    <xf numFmtId="164" fontId="13" fillId="0" borderId="108" xfId="0" applyNumberFormat="1" applyFont="1" applyFill="1" applyBorder="1" applyAlignment="1">
      <alignment horizontal="center" vertical="center"/>
    </xf>
    <xf numFmtId="164" fontId="13" fillId="0" borderId="70" xfId="0" applyNumberFormat="1" applyFont="1" applyFill="1" applyBorder="1" applyAlignment="1">
      <alignment horizontal="center" vertical="center"/>
    </xf>
    <xf numFmtId="164" fontId="13" fillId="4" borderId="53" xfId="0" applyNumberFormat="1" applyFont="1" applyFill="1" applyBorder="1" applyAlignment="1">
      <alignment horizontal="center" vertical="center"/>
    </xf>
    <xf numFmtId="164" fontId="16" fillId="4" borderId="69" xfId="0" applyNumberFormat="1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wrapText="1"/>
    </xf>
    <xf numFmtId="164" fontId="16" fillId="4" borderId="80" xfId="0" applyNumberFormat="1" applyFont="1" applyFill="1" applyBorder="1" applyAlignment="1">
      <alignment horizontal="center" vertical="center"/>
    </xf>
    <xf numFmtId="164" fontId="13" fillId="4" borderId="17" xfId="0" applyNumberFormat="1" applyFont="1" applyFill="1" applyBorder="1" applyAlignment="1">
      <alignment horizontal="center" vertical="center"/>
    </xf>
    <xf numFmtId="164" fontId="13" fillId="0" borderId="69" xfId="0" applyNumberFormat="1" applyFont="1" applyFill="1" applyBorder="1" applyAlignment="1">
      <alignment horizontal="center" vertical="center"/>
    </xf>
    <xf numFmtId="164" fontId="13" fillId="4" borderId="67" xfId="0" applyNumberFormat="1" applyFont="1" applyFill="1" applyBorder="1" applyAlignment="1">
      <alignment horizontal="center" vertical="center"/>
    </xf>
    <xf numFmtId="164" fontId="0" fillId="4" borderId="67" xfId="0" applyNumberFormat="1" applyFont="1" applyFill="1" applyBorder="1" applyAlignment="1">
      <alignment horizontal="center" vertical="center"/>
    </xf>
    <xf numFmtId="164" fontId="0" fillId="4" borderId="66" xfId="0" applyNumberFormat="1" applyFont="1" applyFill="1" applyBorder="1" applyAlignment="1">
      <alignment horizontal="center" vertical="center"/>
    </xf>
    <xf numFmtId="164" fontId="0" fillId="0" borderId="67" xfId="0" applyNumberFormat="1" applyFont="1" applyFill="1" applyBorder="1" applyAlignment="1">
      <alignment horizontal="center" vertical="center"/>
    </xf>
    <xf numFmtId="164" fontId="0" fillId="0" borderId="69" xfId="0" applyNumberFormat="1" applyFont="1" applyFill="1" applyBorder="1" applyAlignment="1">
      <alignment horizontal="center" vertical="center"/>
    </xf>
    <xf numFmtId="164" fontId="13" fillId="0" borderId="67" xfId="0" quotePrefix="1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164" fontId="16" fillId="4" borderId="17" xfId="0" applyNumberFormat="1" applyFont="1" applyFill="1" applyBorder="1" applyAlignment="1">
      <alignment horizontal="center" vertical="center"/>
    </xf>
    <xf numFmtId="0" fontId="0" fillId="0" borderId="0" xfId="0" applyBorder="1"/>
    <xf numFmtId="164" fontId="13" fillId="4" borderId="53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164" fontId="0" fillId="4" borderId="82" xfId="0" applyNumberFormat="1" applyFill="1" applyBorder="1" applyAlignment="1">
      <alignment horizontal="center" vertical="center"/>
    </xf>
    <xf numFmtId="164" fontId="0" fillId="4" borderId="81" xfId="0" applyNumberFormat="1" applyFill="1" applyBorder="1" applyAlignment="1">
      <alignment horizontal="center" vertical="center"/>
    </xf>
    <xf numFmtId="0" fontId="26" fillId="0" borderId="22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7" fontId="0" fillId="0" borderId="0" xfId="0" applyNumberFormat="1" applyAlignment="1"/>
    <xf numFmtId="168" fontId="0" fillId="0" borderId="0" xfId="0" applyNumberFormat="1" applyAlignment="1"/>
    <xf numFmtId="0" fontId="5" fillId="6" borderId="40" xfId="0" applyFont="1" applyFill="1" applyBorder="1" applyAlignment="1"/>
    <xf numFmtId="0" fontId="5" fillId="6" borderId="27" xfId="0" applyFont="1" applyFill="1" applyBorder="1" applyAlignment="1"/>
    <xf numFmtId="0" fontId="5" fillId="6" borderId="41" xfId="0" applyFont="1" applyFill="1" applyBorder="1" applyAlignment="1"/>
    <xf numFmtId="164" fontId="16" fillId="0" borderId="35" xfId="0" applyNumberFormat="1" applyFont="1" applyBorder="1" applyAlignment="1"/>
    <xf numFmtId="164" fontId="13" fillId="4" borderId="3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2" fillId="2" borderId="15" xfId="0" applyFont="1" applyFill="1" applyBorder="1" applyAlignment="1">
      <alignment vertical="center" wrapText="1"/>
    </xf>
    <xf numFmtId="0" fontId="2" fillId="2" borderId="96" xfId="0" applyFont="1" applyFill="1" applyBorder="1" applyAlignment="1">
      <alignment vertical="center" wrapText="1"/>
    </xf>
    <xf numFmtId="166" fontId="0" fillId="0" borderId="0" xfId="0" applyNumberFormat="1" applyAlignment="1"/>
    <xf numFmtId="164" fontId="0" fillId="0" borderId="0" xfId="0" applyNumberFormat="1" applyFill="1"/>
    <xf numFmtId="164" fontId="16" fillId="4" borderId="31" xfId="0" applyNumberFormat="1" applyFont="1" applyFill="1" applyBorder="1" applyAlignment="1">
      <alignment horizontal="center" vertical="center"/>
    </xf>
    <xf numFmtId="164" fontId="16" fillId="4" borderId="69" xfId="0" applyNumberFormat="1" applyFont="1" applyFill="1" applyBorder="1" applyAlignment="1">
      <alignment horizontal="center" vertical="center"/>
    </xf>
    <xf numFmtId="164" fontId="13" fillId="4" borderId="6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164" fontId="13" fillId="4" borderId="61" xfId="0" applyNumberFormat="1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wrapText="1"/>
    </xf>
    <xf numFmtId="164" fontId="13" fillId="4" borderId="67" xfId="0" applyNumberFormat="1" applyFont="1" applyFill="1" applyBorder="1" applyAlignment="1">
      <alignment horizontal="center" vertical="center"/>
    </xf>
    <xf numFmtId="164" fontId="16" fillId="4" borderId="80" xfId="0" applyNumberFormat="1" applyFont="1" applyFill="1" applyBorder="1" applyAlignment="1">
      <alignment horizontal="center" vertical="center"/>
    </xf>
    <xf numFmtId="164" fontId="13" fillId="4" borderId="17" xfId="0" applyNumberFormat="1" applyFont="1" applyFill="1" applyBorder="1" applyAlignment="1">
      <alignment horizontal="center" vertical="center"/>
    </xf>
    <xf numFmtId="164" fontId="13" fillId="0" borderId="69" xfId="0" applyNumberFormat="1" applyFont="1" applyFill="1" applyBorder="1" applyAlignment="1">
      <alignment horizontal="center" vertical="center"/>
    </xf>
    <xf numFmtId="164" fontId="0" fillId="4" borderId="67" xfId="0" applyNumberFormat="1" applyFont="1" applyFill="1" applyBorder="1" applyAlignment="1">
      <alignment horizontal="center" vertical="center"/>
    </xf>
    <xf numFmtId="164" fontId="0" fillId="4" borderId="66" xfId="0" applyNumberFormat="1" applyFont="1" applyFill="1" applyBorder="1" applyAlignment="1">
      <alignment horizontal="center" vertical="center"/>
    </xf>
    <xf numFmtId="164" fontId="0" fillId="0" borderId="67" xfId="0" applyNumberFormat="1" applyFont="1" applyFill="1" applyBorder="1" applyAlignment="1">
      <alignment horizontal="center" vertical="center"/>
    </xf>
    <xf numFmtId="164" fontId="0" fillId="0" borderId="69" xfId="0" applyNumberFormat="1" applyFont="1" applyFill="1" applyBorder="1" applyAlignment="1">
      <alignment horizontal="center" vertical="center"/>
    </xf>
    <xf numFmtId="164" fontId="13" fillId="0" borderId="67" xfId="0" quotePrefix="1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164" fontId="16" fillId="4" borderId="17" xfId="0" applyNumberFormat="1" applyFont="1" applyFill="1" applyBorder="1" applyAlignment="1">
      <alignment horizontal="center" vertical="center"/>
    </xf>
    <xf numFmtId="0" fontId="0" fillId="0" borderId="0" xfId="0" applyBorder="1"/>
    <xf numFmtId="164" fontId="13" fillId="4" borderId="53" xfId="0" applyNumberFormat="1" applyFont="1" applyFill="1" applyBorder="1" applyAlignment="1">
      <alignment horizontal="center"/>
    </xf>
    <xf numFmtId="164" fontId="13" fillId="4" borderId="66" xfId="0" applyNumberFormat="1" applyFont="1" applyFill="1" applyBorder="1" applyAlignment="1">
      <alignment horizontal="center"/>
    </xf>
    <xf numFmtId="164" fontId="13" fillId="4" borderId="80" xfId="0" applyNumberFormat="1" applyFont="1" applyFill="1" applyBorder="1" applyAlignment="1">
      <alignment horizontal="center" vertical="center"/>
    </xf>
    <xf numFmtId="164" fontId="13" fillId="4" borderId="59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6" borderId="40" xfId="0" applyFont="1" applyFill="1" applyBorder="1" applyAlignment="1">
      <alignment horizontal="center"/>
    </xf>
    <xf numFmtId="0" fontId="5" fillId="6" borderId="27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164" fontId="13" fillId="4" borderId="90" xfId="0" applyNumberFormat="1" applyFont="1" applyFill="1" applyBorder="1" applyAlignment="1">
      <alignment horizontal="center" vertical="center"/>
    </xf>
    <xf numFmtId="164" fontId="13" fillId="4" borderId="66" xfId="0" applyNumberFormat="1" applyFont="1" applyFill="1" applyBorder="1" applyAlignment="1">
      <alignment horizontal="center" vertical="center"/>
    </xf>
    <xf numFmtId="0" fontId="13" fillId="4" borderId="90" xfId="0" applyFont="1" applyFill="1" applyBorder="1" applyAlignment="1">
      <alignment horizontal="center" vertical="center"/>
    </xf>
    <xf numFmtId="0" fontId="13" fillId="4" borderId="69" xfId="0" applyFont="1" applyFill="1" applyBorder="1" applyAlignment="1">
      <alignment horizontal="center" vertical="center"/>
    </xf>
    <xf numFmtId="164" fontId="13" fillId="4" borderId="70" xfId="0" applyNumberFormat="1" applyFont="1" applyFill="1" applyBorder="1" applyAlignment="1">
      <alignment horizontal="center" vertical="center"/>
    </xf>
    <xf numFmtId="0" fontId="13" fillId="4" borderId="6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4" fontId="13" fillId="4" borderId="10" xfId="0" applyNumberFormat="1" applyFont="1" applyFill="1" applyBorder="1" applyAlignment="1">
      <alignment horizontal="center" vertical="center"/>
    </xf>
    <xf numFmtId="164" fontId="13" fillId="4" borderId="61" xfId="0" applyNumberFormat="1" applyFont="1" applyFill="1" applyBorder="1" applyAlignment="1">
      <alignment horizontal="center" vertical="center"/>
    </xf>
    <xf numFmtId="164" fontId="16" fillId="4" borderId="10" xfId="0" applyNumberFormat="1" applyFont="1" applyFill="1" applyBorder="1" applyAlignment="1">
      <alignment horizontal="center" vertical="center"/>
    </xf>
    <xf numFmtId="164" fontId="16" fillId="4" borderId="61" xfId="0" applyNumberFormat="1" applyFont="1" applyFill="1" applyBorder="1" applyAlignment="1">
      <alignment horizontal="center" vertical="center"/>
    </xf>
    <xf numFmtId="164" fontId="13" fillId="4" borderId="12" xfId="0" applyNumberFormat="1" applyFont="1" applyFill="1" applyBorder="1" applyAlignment="1">
      <alignment horizontal="center" vertical="center"/>
    </xf>
    <xf numFmtId="164" fontId="13" fillId="4" borderId="84" xfId="0" applyNumberFormat="1" applyFont="1" applyFill="1" applyBorder="1" applyAlignment="1">
      <alignment horizontal="center" vertical="center"/>
    </xf>
    <xf numFmtId="164" fontId="13" fillId="4" borderId="82" xfId="0" applyNumberFormat="1" applyFont="1" applyFill="1" applyBorder="1" applyAlignment="1">
      <alignment horizontal="center" vertical="center"/>
    </xf>
    <xf numFmtId="164" fontId="13" fillId="4" borderId="81" xfId="0" applyNumberFormat="1" applyFont="1" applyFill="1" applyBorder="1" applyAlignment="1">
      <alignment horizontal="center" vertical="center"/>
    </xf>
    <xf numFmtId="164" fontId="16" fillId="4" borderId="80" xfId="0" applyNumberFormat="1" applyFont="1" applyFill="1" applyBorder="1" applyAlignment="1">
      <alignment horizontal="center" vertical="center"/>
    </xf>
    <xf numFmtId="164" fontId="16" fillId="4" borderId="81" xfId="0" applyNumberFormat="1" applyFont="1" applyFill="1" applyBorder="1" applyAlignment="1">
      <alignment horizontal="center" vertical="center"/>
    </xf>
    <xf numFmtId="164" fontId="13" fillId="4" borderId="114" xfId="0" applyNumberFormat="1" applyFont="1" applyFill="1" applyBorder="1" applyAlignment="1">
      <alignment horizontal="center" vertical="center"/>
    </xf>
    <xf numFmtId="164" fontId="13" fillId="4" borderId="109" xfId="0" applyNumberFormat="1" applyFont="1" applyFill="1" applyBorder="1" applyAlignment="1">
      <alignment horizontal="center" vertical="center"/>
    </xf>
    <xf numFmtId="164" fontId="16" fillId="4" borderId="67" xfId="0" applyNumberFormat="1" applyFont="1" applyFill="1" applyBorder="1" applyAlignment="1">
      <alignment horizontal="center" vertical="center"/>
    </xf>
    <xf numFmtId="164" fontId="16" fillId="4" borderId="69" xfId="0" applyNumberFormat="1" applyFont="1" applyFill="1" applyBorder="1" applyAlignment="1">
      <alignment horizontal="center" vertical="center"/>
    </xf>
    <xf numFmtId="164" fontId="16" fillId="0" borderId="78" xfId="0" applyNumberFormat="1" applyFont="1" applyFill="1" applyBorder="1" applyAlignment="1">
      <alignment horizontal="center" vertical="center"/>
    </xf>
    <xf numFmtId="164" fontId="16" fillId="0" borderId="69" xfId="0" applyNumberFormat="1" applyFont="1" applyFill="1" applyBorder="1" applyAlignment="1">
      <alignment horizontal="center" vertical="center"/>
    </xf>
    <xf numFmtId="164" fontId="16" fillId="0" borderId="67" xfId="0" applyNumberFormat="1" applyFont="1" applyFill="1" applyBorder="1" applyAlignment="1">
      <alignment horizontal="center" vertical="center"/>
    </xf>
    <xf numFmtId="164" fontId="16" fillId="0" borderId="90" xfId="0" applyNumberFormat="1" applyFont="1" applyFill="1" applyBorder="1" applyAlignment="1">
      <alignment horizontal="center" vertical="center"/>
    </xf>
    <xf numFmtId="164" fontId="16" fillId="0" borderId="66" xfId="0" applyNumberFormat="1" applyFont="1" applyFill="1" applyBorder="1" applyAlignment="1">
      <alignment horizontal="center" vertical="center"/>
    </xf>
    <xf numFmtId="0" fontId="13" fillId="0" borderId="53" xfId="0" applyFont="1" applyBorder="1" applyAlignment="1">
      <alignment horizontal="center"/>
    </xf>
    <xf numFmtId="164" fontId="13" fillId="4" borderId="94" xfId="0" applyNumberFormat="1" applyFont="1" applyFill="1" applyBorder="1" applyAlignment="1">
      <alignment horizontal="center" vertical="center"/>
    </xf>
    <xf numFmtId="0" fontId="13" fillId="4" borderId="94" xfId="0" applyFont="1" applyFill="1" applyBorder="1" applyAlignment="1">
      <alignment horizontal="center" vertical="center"/>
    </xf>
    <xf numFmtId="0" fontId="13" fillId="4" borderId="77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6" borderId="91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0" borderId="2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164" fontId="16" fillId="4" borderId="29" xfId="0" applyNumberFormat="1" applyFont="1" applyFill="1" applyBorder="1" applyAlignment="1">
      <alignment horizontal="center" vertical="center"/>
    </xf>
    <xf numFmtId="164" fontId="16" fillId="4" borderId="15" xfId="0" applyNumberFormat="1" applyFont="1" applyFill="1" applyBorder="1" applyAlignment="1">
      <alignment horizontal="center" vertical="center"/>
    </xf>
    <xf numFmtId="164" fontId="16" fillId="4" borderId="24" xfId="0" applyNumberFormat="1" applyFont="1" applyFill="1" applyBorder="1" applyAlignment="1">
      <alignment horizontal="center" vertical="center"/>
    </xf>
    <xf numFmtId="164" fontId="13" fillId="4" borderId="72" xfId="0" applyNumberFormat="1" applyFont="1" applyFill="1" applyBorder="1" applyAlignment="1">
      <alignment horizontal="center" vertical="center"/>
    </xf>
    <xf numFmtId="164" fontId="13" fillId="4" borderId="51" xfId="0" applyNumberFormat="1" applyFont="1" applyFill="1" applyBorder="1" applyAlignment="1">
      <alignment horizontal="center" vertical="center"/>
    </xf>
    <xf numFmtId="164" fontId="16" fillId="4" borderId="12" xfId="0" applyNumberFormat="1" applyFont="1" applyFill="1" applyBorder="1" applyAlignment="1">
      <alignment horizontal="center" vertical="center"/>
    </xf>
    <xf numFmtId="164" fontId="16" fillId="4" borderId="84" xfId="0" applyNumberFormat="1" applyFont="1" applyFill="1" applyBorder="1" applyAlignment="1">
      <alignment horizontal="center" vertical="center"/>
    </xf>
    <xf numFmtId="164" fontId="13" fillId="4" borderId="30" xfId="0" applyNumberFormat="1" applyFont="1" applyFill="1" applyBorder="1" applyAlignment="1">
      <alignment horizontal="center" vertical="center"/>
    </xf>
    <xf numFmtId="164" fontId="13" fillId="4" borderId="85" xfId="0" applyNumberFormat="1" applyFont="1" applyFill="1" applyBorder="1" applyAlignment="1">
      <alignment horizontal="center" vertical="center"/>
    </xf>
    <xf numFmtId="164" fontId="13" fillId="4" borderId="60" xfId="0" applyNumberFormat="1" applyFont="1" applyFill="1" applyBorder="1" applyAlignment="1">
      <alignment horizontal="center" vertical="center"/>
    </xf>
    <xf numFmtId="164" fontId="16" fillId="4" borderId="59" xfId="0" applyNumberFormat="1" applyFont="1" applyFill="1" applyBorder="1" applyAlignment="1">
      <alignment horizontal="center" vertical="center"/>
    </xf>
    <xf numFmtId="164" fontId="16" fillId="4" borderId="60" xfId="0" applyNumberFormat="1" applyFont="1" applyFill="1" applyBorder="1" applyAlignment="1">
      <alignment horizontal="center" vertical="center"/>
    </xf>
    <xf numFmtId="164" fontId="13" fillId="4" borderId="63" xfId="0" applyNumberFormat="1" applyFont="1" applyFill="1" applyBorder="1" applyAlignment="1">
      <alignment horizontal="center" vertical="center"/>
    </xf>
    <xf numFmtId="164" fontId="13" fillId="4" borderId="64" xfId="0" applyNumberFormat="1" applyFont="1" applyFill="1" applyBorder="1" applyAlignment="1">
      <alignment horizontal="center" vertical="center"/>
    </xf>
    <xf numFmtId="164" fontId="13" fillId="4" borderId="53" xfId="0" applyNumberFormat="1" applyFont="1" applyFill="1" applyBorder="1" applyAlignment="1">
      <alignment horizontal="center"/>
    </xf>
    <xf numFmtId="0" fontId="13" fillId="4" borderId="53" xfId="0" applyFont="1" applyFill="1" applyBorder="1" applyAlignment="1">
      <alignment horizontal="center"/>
    </xf>
    <xf numFmtId="164" fontId="16" fillId="4" borderId="53" xfId="0" applyNumberFormat="1" applyFont="1" applyFill="1" applyBorder="1" applyAlignment="1">
      <alignment horizontal="center"/>
    </xf>
    <xf numFmtId="0" fontId="16" fillId="4" borderId="53" xfId="0" applyFont="1" applyFill="1" applyBorder="1" applyAlignment="1">
      <alignment horizontal="center"/>
    </xf>
    <xf numFmtId="0" fontId="13" fillId="4" borderId="88" xfId="0" applyFont="1" applyFill="1" applyBorder="1" applyAlignment="1">
      <alignment horizontal="center"/>
    </xf>
    <xf numFmtId="164" fontId="16" fillId="4" borderId="82" xfId="0" applyNumberFormat="1" applyFont="1" applyFill="1" applyBorder="1" applyAlignment="1">
      <alignment horizontal="center" vertical="center"/>
    </xf>
    <xf numFmtId="164" fontId="16" fillId="4" borderId="8" xfId="0" applyNumberFormat="1" applyFont="1" applyFill="1" applyBorder="1" applyAlignment="1">
      <alignment horizontal="center" vertical="center"/>
    </xf>
    <xf numFmtId="164" fontId="16" fillId="4" borderId="9" xfId="0" applyNumberFormat="1" applyFont="1" applyFill="1" applyBorder="1" applyAlignment="1">
      <alignment horizontal="center" vertical="center"/>
    </xf>
    <xf numFmtId="164" fontId="16" fillId="4" borderId="113" xfId="0" applyNumberFormat="1" applyFont="1" applyFill="1" applyBorder="1" applyAlignment="1">
      <alignment horizontal="center" vertical="center"/>
    </xf>
    <xf numFmtId="164" fontId="16" fillId="4" borderId="85" xfId="0" applyNumberFormat="1" applyFont="1" applyFill="1" applyBorder="1" applyAlignment="1">
      <alignment horizontal="center" vertical="center"/>
    </xf>
    <xf numFmtId="164" fontId="16" fillId="4" borderId="67" xfId="0" applyNumberFormat="1" applyFont="1" applyFill="1" applyBorder="1" applyAlignment="1">
      <alignment horizontal="center"/>
    </xf>
    <xf numFmtId="0" fontId="16" fillId="4" borderId="69" xfId="0" applyFont="1" applyFill="1" applyBorder="1" applyAlignment="1">
      <alignment horizontal="center"/>
    </xf>
    <xf numFmtId="164" fontId="13" fillId="4" borderId="67" xfId="0" applyNumberFormat="1" applyFont="1" applyFill="1" applyBorder="1" applyAlignment="1">
      <alignment horizontal="center"/>
    </xf>
    <xf numFmtId="0" fontId="13" fillId="4" borderId="69" xfId="0" applyFont="1" applyFill="1" applyBorder="1" applyAlignment="1">
      <alignment horizontal="center"/>
    </xf>
    <xf numFmtId="164" fontId="16" fillId="4" borderId="70" xfId="0" applyNumberFormat="1" applyFont="1" applyFill="1" applyBorder="1" applyAlignment="1">
      <alignment horizontal="center"/>
    </xf>
    <xf numFmtId="164" fontId="16" fillId="4" borderId="66" xfId="0" applyNumberFormat="1" applyFont="1" applyFill="1" applyBorder="1" applyAlignment="1">
      <alignment horizontal="center"/>
    </xf>
    <xf numFmtId="0" fontId="16" fillId="4" borderId="88" xfId="0" applyFont="1" applyFill="1" applyBorder="1" applyAlignment="1">
      <alignment horizontal="center"/>
    </xf>
    <xf numFmtId="164" fontId="13" fillId="4" borderId="69" xfId="0" applyNumberFormat="1" applyFont="1" applyFill="1" applyBorder="1" applyAlignment="1">
      <alignment horizontal="center"/>
    </xf>
    <xf numFmtId="164" fontId="13" fillId="4" borderId="79" xfId="0" applyNumberFormat="1" applyFont="1" applyFill="1" applyBorder="1" applyAlignment="1">
      <alignment horizontal="center"/>
    </xf>
    <xf numFmtId="164" fontId="13" fillId="4" borderId="78" xfId="0" applyNumberFormat="1" applyFont="1" applyFill="1" applyBorder="1" applyAlignment="1">
      <alignment horizontal="center" vertical="center"/>
    </xf>
    <xf numFmtId="164" fontId="13" fillId="4" borderId="69" xfId="0" applyNumberFormat="1" applyFont="1" applyFill="1" applyBorder="1" applyAlignment="1">
      <alignment horizontal="center" vertical="center"/>
    </xf>
    <xf numFmtId="164" fontId="13" fillId="4" borderId="77" xfId="0" applyNumberFormat="1" applyFont="1" applyFill="1" applyBorder="1" applyAlignment="1">
      <alignment horizontal="center"/>
    </xf>
    <xf numFmtId="164" fontId="16" fillId="4" borderId="69" xfId="0" applyNumberFormat="1" applyFont="1" applyFill="1" applyBorder="1" applyAlignment="1">
      <alignment horizontal="center"/>
    </xf>
    <xf numFmtId="164" fontId="16" fillId="4" borderId="78" xfId="0" applyNumberFormat="1" applyFont="1" applyFill="1" applyBorder="1" applyAlignment="1">
      <alignment horizontal="center"/>
    </xf>
    <xf numFmtId="164" fontId="16" fillId="4" borderId="66" xfId="0" applyNumberFormat="1" applyFont="1" applyFill="1" applyBorder="1" applyAlignment="1">
      <alignment horizontal="center" vertical="center"/>
    </xf>
    <xf numFmtId="164" fontId="13" fillId="4" borderId="67" xfId="0" applyNumberFormat="1" applyFont="1" applyFill="1" applyBorder="1" applyAlignment="1">
      <alignment horizontal="center" vertical="center"/>
    </xf>
    <xf numFmtId="164" fontId="13" fillId="4" borderId="79" xfId="0" applyNumberFormat="1" applyFont="1" applyFill="1" applyBorder="1" applyAlignment="1">
      <alignment horizontal="center" vertical="center"/>
    </xf>
    <xf numFmtId="164" fontId="16" fillId="4" borderId="78" xfId="0" applyNumberFormat="1" applyFont="1" applyFill="1" applyBorder="1" applyAlignment="1">
      <alignment horizontal="center" vertical="center"/>
    </xf>
    <xf numFmtId="164" fontId="13" fillId="0" borderId="65" xfId="0" applyNumberFormat="1" applyFont="1" applyFill="1" applyBorder="1" applyAlignment="1">
      <alignment horizontal="center" vertical="center"/>
    </xf>
    <xf numFmtId="164" fontId="13" fillId="0" borderId="69" xfId="0" applyNumberFormat="1" applyFont="1" applyFill="1" applyBorder="1" applyAlignment="1">
      <alignment horizontal="center" vertical="center"/>
    </xf>
    <xf numFmtId="164" fontId="13" fillId="0" borderId="67" xfId="0" applyNumberFormat="1" applyFont="1" applyFill="1" applyBorder="1" applyAlignment="1">
      <alignment horizontal="center" vertical="center"/>
    </xf>
    <xf numFmtId="164" fontId="13" fillId="0" borderId="66" xfId="0" applyNumberFormat="1" applyFont="1" applyFill="1" applyBorder="1" applyAlignment="1">
      <alignment horizontal="center" vertical="center"/>
    </xf>
    <xf numFmtId="164" fontId="13" fillId="4" borderId="17" xfId="0" applyNumberFormat="1" applyFont="1" applyFill="1" applyBorder="1" applyAlignment="1">
      <alignment horizontal="center" vertical="center"/>
    </xf>
    <xf numFmtId="164" fontId="13" fillId="4" borderId="22" xfId="0" applyNumberFormat="1" applyFont="1" applyFill="1" applyBorder="1" applyAlignment="1">
      <alignment horizontal="center" vertical="center"/>
    </xf>
    <xf numFmtId="164" fontId="16" fillId="4" borderId="22" xfId="0" applyNumberFormat="1" applyFont="1" applyFill="1" applyBorder="1" applyAlignment="1">
      <alignment horizontal="center" vertical="center"/>
    </xf>
    <xf numFmtId="164" fontId="16" fillId="4" borderId="2" xfId="0" applyNumberFormat="1" applyFont="1" applyFill="1" applyBorder="1" applyAlignment="1">
      <alignment horizontal="center" vertical="center"/>
    </xf>
    <xf numFmtId="164" fontId="16" fillId="4" borderId="11" xfId="0" applyNumberFormat="1" applyFont="1" applyFill="1" applyBorder="1" applyAlignment="1">
      <alignment horizontal="center" vertical="center"/>
    </xf>
    <xf numFmtId="164" fontId="16" fillId="4" borderId="77" xfId="0" applyNumberFormat="1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21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/>
    </xf>
    <xf numFmtId="164" fontId="13" fillId="4" borderId="2" xfId="0" applyNumberFormat="1" applyFont="1" applyFill="1" applyBorder="1" applyAlignment="1">
      <alignment horizontal="center" vertical="center"/>
    </xf>
    <xf numFmtId="164" fontId="13" fillId="4" borderId="33" xfId="0" applyNumberFormat="1" applyFont="1" applyFill="1" applyBorder="1" applyAlignment="1">
      <alignment horizontal="center" vertical="center"/>
    </xf>
    <xf numFmtId="164" fontId="13" fillId="4" borderId="77" xfId="0" applyNumberFormat="1" applyFont="1" applyFill="1" applyBorder="1" applyAlignment="1">
      <alignment horizontal="center" vertical="center"/>
    </xf>
    <xf numFmtId="164" fontId="13" fillId="4" borderId="20" xfId="0" applyNumberFormat="1" applyFont="1" applyFill="1" applyBorder="1" applyAlignment="1">
      <alignment horizontal="center" vertical="center"/>
    </xf>
    <xf numFmtId="164" fontId="16" fillId="4" borderId="3" xfId="0" applyNumberFormat="1" applyFont="1" applyFill="1" applyBorder="1" applyAlignment="1">
      <alignment horizontal="center" vertical="center"/>
    </xf>
    <xf numFmtId="164" fontId="16" fillId="4" borderId="14" xfId="0" applyNumberFormat="1" applyFont="1" applyFill="1" applyBorder="1" applyAlignment="1">
      <alignment horizontal="center" vertical="center"/>
    </xf>
    <xf numFmtId="164" fontId="16" fillId="4" borderId="17" xfId="0" applyNumberFormat="1" applyFont="1" applyFill="1" applyBorder="1" applyAlignment="1">
      <alignment horizontal="center" vertical="center"/>
    </xf>
    <xf numFmtId="164" fontId="16" fillId="4" borderId="70" xfId="0" applyNumberFormat="1" applyFont="1" applyFill="1" applyBorder="1" applyAlignment="1">
      <alignment horizontal="center" vertical="center"/>
    </xf>
    <xf numFmtId="164" fontId="16" fillId="4" borderId="16" xfId="0" applyNumberFormat="1" applyFont="1" applyFill="1" applyBorder="1" applyAlignment="1">
      <alignment horizontal="center" vertical="center"/>
    </xf>
    <xf numFmtId="164" fontId="13" fillId="4" borderId="14" xfId="0" applyNumberFormat="1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horizontal="center" vertical="center"/>
    </xf>
    <xf numFmtId="164" fontId="13" fillId="4" borderId="96" xfId="0" applyNumberFormat="1" applyFont="1" applyFill="1" applyBorder="1" applyAlignment="1">
      <alignment horizontal="center" vertical="center"/>
    </xf>
    <xf numFmtId="164" fontId="13" fillId="4" borderId="16" xfId="0" applyNumberFormat="1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wrapText="1"/>
    </xf>
    <xf numFmtId="0" fontId="2" fillId="5" borderId="88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67" xfId="0" applyFont="1" applyFill="1" applyBorder="1" applyAlignment="1">
      <alignment horizontal="center" wrapText="1"/>
    </xf>
    <xf numFmtId="0" fontId="2" fillId="5" borderId="77" xfId="0" applyFont="1" applyFill="1" applyBorder="1" applyAlignment="1">
      <alignment horizontal="center" wrapText="1"/>
    </xf>
    <xf numFmtId="0" fontId="2" fillId="5" borderId="66" xfId="0" applyFont="1" applyFill="1" applyBorder="1" applyAlignment="1">
      <alignment horizontal="center" wrapText="1"/>
    </xf>
    <xf numFmtId="0" fontId="2" fillId="5" borderId="70" xfId="0" applyFont="1" applyFill="1" applyBorder="1" applyAlignment="1">
      <alignment horizontal="center" wrapText="1"/>
    </xf>
    <xf numFmtId="0" fontId="2" fillId="5" borderId="69" xfId="0" applyFont="1" applyFill="1" applyBorder="1" applyAlignment="1">
      <alignment horizontal="center" wrapText="1"/>
    </xf>
    <xf numFmtId="0" fontId="2" fillId="5" borderId="79" xfId="0" applyFont="1" applyFill="1" applyBorder="1" applyAlignment="1">
      <alignment horizontal="center" wrapText="1"/>
    </xf>
    <xf numFmtId="0" fontId="2" fillId="5" borderId="89" xfId="0" applyFont="1" applyFill="1" applyBorder="1" applyAlignment="1">
      <alignment horizontal="center" wrapText="1"/>
    </xf>
    <xf numFmtId="0" fontId="2" fillId="5" borderId="96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104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36" xfId="0" applyFont="1" applyFill="1" applyBorder="1" applyAlignment="1">
      <alignment horizontal="center" wrapText="1"/>
    </xf>
    <xf numFmtId="0" fontId="2" fillId="5" borderId="78" xfId="0" applyFont="1" applyFill="1" applyBorder="1" applyAlignment="1">
      <alignment horizontal="center" wrapText="1"/>
    </xf>
    <xf numFmtId="0" fontId="17" fillId="5" borderId="14" xfId="0" applyFont="1" applyFill="1" applyBorder="1" applyAlignment="1">
      <alignment horizontal="center" wrapText="1"/>
    </xf>
    <xf numFmtId="0" fontId="17" fillId="5" borderId="15" xfId="0" applyFont="1" applyFill="1" applyBorder="1" applyAlignment="1">
      <alignment horizontal="center" wrapText="1"/>
    </xf>
    <xf numFmtId="0" fontId="23" fillId="0" borderId="78" xfId="0" applyFont="1" applyFill="1" applyBorder="1" applyAlignment="1">
      <alignment horizontal="center" wrapText="1"/>
    </xf>
    <xf numFmtId="0" fontId="23" fillId="0" borderId="66" xfId="0" applyFont="1" applyFill="1" applyBorder="1" applyAlignment="1">
      <alignment horizontal="center" wrapText="1"/>
    </xf>
    <xf numFmtId="0" fontId="23" fillId="0" borderId="67" xfId="0" applyFont="1" applyFill="1" applyBorder="1" applyAlignment="1">
      <alignment horizontal="center" wrapText="1"/>
    </xf>
    <xf numFmtId="0" fontId="23" fillId="0" borderId="6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horizontal="center" wrapText="1"/>
    </xf>
    <xf numFmtId="0" fontId="17" fillId="5" borderId="16" xfId="0" applyFont="1" applyFill="1" applyBorder="1" applyAlignment="1">
      <alignment horizontal="center" wrapText="1"/>
    </xf>
    <xf numFmtId="0" fontId="23" fillId="0" borderId="77" xfId="0" applyFont="1" applyFill="1" applyBorder="1" applyAlignment="1">
      <alignment horizontal="center" wrapText="1"/>
    </xf>
    <xf numFmtId="0" fontId="17" fillId="5" borderId="67" xfId="0" applyFont="1" applyFill="1" applyBorder="1" applyAlignment="1">
      <alignment horizontal="center" wrapText="1"/>
    </xf>
    <xf numFmtId="0" fontId="17" fillId="5" borderId="66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17" fillId="5" borderId="36" xfId="0" applyFont="1" applyFill="1" applyBorder="1" applyAlignment="1">
      <alignment horizontal="center" wrapText="1"/>
    </xf>
    <xf numFmtId="0" fontId="17" fillId="5" borderId="96" xfId="0" applyFont="1" applyFill="1" applyBorder="1" applyAlignment="1">
      <alignment horizontal="center" wrapText="1"/>
    </xf>
    <xf numFmtId="0" fontId="17" fillId="5" borderId="83" xfId="0" applyFont="1" applyFill="1" applyBorder="1" applyAlignment="1">
      <alignment horizontal="center" wrapText="1"/>
    </xf>
    <xf numFmtId="0" fontId="2" fillId="5" borderId="55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5" fillId="6" borderId="40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/>
    </xf>
    <xf numFmtId="164" fontId="0" fillId="4" borderId="61" xfId="0" applyNumberFormat="1" applyFill="1" applyBorder="1" applyAlignment="1">
      <alignment horizontal="center"/>
    </xf>
    <xf numFmtId="0" fontId="12" fillId="4" borderId="80" xfId="0" applyFont="1" applyFill="1" applyBorder="1" applyAlignment="1">
      <alignment horizontal="center"/>
    </xf>
    <xf numFmtId="0" fontId="12" fillId="4" borderId="81" xfId="0" applyFon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61" xfId="0" applyNumberFormat="1" applyFill="1" applyBorder="1" applyAlignment="1">
      <alignment horizontal="center" vertical="center"/>
    </xf>
    <xf numFmtId="164" fontId="0" fillId="4" borderId="67" xfId="0" applyNumberFormat="1" applyFont="1" applyFill="1" applyBorder="1" applyAlignment="1">
      <alignment horizontal="center" vertical="center"/>
    </xf>
    <xf numFmtId="164" fontId="0" fillId="4" borderId="69" xfId="0" applyNumberFormat="1" applyFont="1" applyFill="1" applyBorder="1" applyAlignment="1">
      <alignment horizontal="center" vertical="center"/>
    </xf>
    <xf numFmtId="164" fontId="0" fillId="4" borderId="66" xfId="0" applyNumberFormat="1" applyFont="1" applyFill="1" applyBorder="1" applyAlignment="1">
      <alignment horizontal="center" vertical="center"/>
    </xf>
    <xf numFmtId="164" fontId="0" fillId="0" borderId="67" xfId="0" applyNumberFormat="1" applyFont="1" applyFill="1" applyBorder="1" applyAlignment="1">
      <alignment horizontal="center" vertical="center"/>
    </xf>
    <xf numFmtId="164" fontId="0" fillId="0" borderId="66" xfId="0" applyNumberFormat="1" applyFont="1" applyFill="1" applyBorder="1" applyAlignment="1">
      <alignment horizontal="center" vertical="center"/>
    </xf>
    <xf numFmtId="164" fontId="0" fillId="0" borderId="17" xfId="0" applyNumberFormat="1" applyFont="1" applyFill="1" applyBorder="1" applyAlignment="1">
      <alignment horizontal="center" vertical="center"/>
    </xf>
    <xf numFmtId="164" fontId="0" fillId="0" borderId="20" xfId="0" applyNumberFormat="1" applyFont="1" applyFill="1" applyBorder="1" applyAlignment="1">
      <alignment horizontal="center" vertical="center"/>
    </xf>
    <xf numFmtId="164" fontId="0" fillId="0" borderId="69" xfId="0" applyNumberFormat="1" applyFont="1" applyFill="1" applyBorder="1" applyAlignment="1">
      <alignment horizontal="center" vertical="center"/>
    </xf>
    <xf numFmtId="164" fontId="0" fillId="4" borderId="68" xfId="0" applyNumberFormat="1" applyFont="1" applyFill="1" applyBorder="1" applyAlignment="1">
      <alignment horizontal="center" vertical="center"/>
    </xf>
    <xf numFmtId="164" fontId="13" fillId="0" borderId="67" xfId="0" quotePrefix="1" applyNumberFormat="1" applyFont="1" applyFill="1" applyBorder="1" applyAlignment="1">
      <alignment horizontal="center" vertical="center"/>
    </xf>
    <xf numFmtId="164" fontId="13" fillId="0" borderId="69" xfId="0" quotePrefix="1" applyNumberFormat="1" applyFont="1" applyFill="1" applyBorder="1" applyAlignment="1">
      <alignment horizontal="center" vertical="center"/>
    </xf>
    <xf numFmtId="164" fontId="13" fillId="0" borderId="66" xfId="0" quotePrefix="1" applyNumberFormat="1" applyFont="1" applyFill="1" applyBorder="1" applyAlignment="1">
      <alignment horizontal="center" vertical="center"/>
    </xf>
    <xf numFmtId="164" fontId="13" fillId="4" borderId="67" xfId="0" quotePrefix="1" applyNumberFormat="1" applyFont="1" applyFill="1" applyBorder="1" applyAlignment="1">
      <alignment horizontal="center" vertical="center"/>
    </xf>
    <xf numFmtId="164" fontId="13" fillId="4" borderId="66" xfId="0" quotePrefix="1" applyNumberFormat="1" applyFont="1" applyFill="1" applyBorder="1" applyAlignment="1">
      <alignment horizontal="center" vertical="center"/>
    </xf>
    <xf numFmtId="164" fontId="13" fillId="4" borderId="68" xfId="0" applyNumberFormat="1" applyFont="1" applyFill="1" applyBorder="1" applyAlignment="1">
      <alignment horizontal="center" vertical="center"/>
    </xf>
    <xf numFmtId="164" fontId="13" fillId="4" borderId="65" xfId="0" quotePrefix="1" applyNumberFormat="1" applyFont="1" applyFill="1" applyBorder="1" applyAlignment="1">
      <alignment horizontal="center" vertical="center"/>
    </xf>
    <xf numFmtId="164" fontId="13" fillId="4" borderId="69" xfId="0" quotePrefix="1" applyNumberFormat="1" applyFont="1" applyFill="1" applyBorder="1" applyAlignment="1">
      <alignment horizontal="center" vertical="center"/>
    </xf>
    <xf numFmtId="164" fontId="13" fillId="4" borderId="23" xfId="0" applyNumberFormat="1" applyFont="1" applyFill="1" applyBorder="1" applyAlignment="1">
      <alignment horizontal="center" vertical="center"/>
    </xf>
    <xf numFmtId="164" fontId="0" fillId="4" borderId="65" xfId="0" applyNumberFormat="1" applyFont="1" applyFill="1" applyBorder="1" applyAlignment="1">
      <alignment horizontal="center" vertical="center"/>
    </xf>
    <xf numFmtId="164" fontId="0" fillId="4" borderId="70" xfId="0" applyNumberFormat="1" applyFont="1" applyFill="1" applyBorder="1" applyAlignment="1">
      <alignment horizontal="center" vertical="center"/>
    </xf>
    <xf numFmtId="164" fontId="0" fillId="0" borderId="53" xfId="0" applyNumberFormat="1" applyFont="1" applyBorder="1" applyAlignment="1">
      <alignment horizontal="center" vertical="center"/>
    </xf>
    <xf numFmtId="164" fontId="2" fillId="4" borderId="94" xfId="0" applyNumberFormat="1" applyFont="1" applyFill="1" applyBorder="1" applyAlignment="1">
      <alignment horizontal="center" vertical="center"/>
    </xf>
    <xf numFmtId="164" fontId="2" fillId="4" borderId="66" xfId="0" applyNumberFormat="1" applyFont="1" applyFill="1" applyBorder="1" applyAlignment="1">
      <alignment horizontal="center" vertical="center"/>
    </xf>
    <xf numFmtId="164" fontId="0" fillId="4" borderId="67" xfId="0" applyNumberFormat="1" applyFill="1" applyBorder="1" applyAlignment="1">
      <alignment horizontal="center" vertical="center"/>
    </xf>
    <xf numFmtId="164" fontId="0" fillId="0" borderId="65" xfId="0" applyNumberFormat="1" applyFont="1" applyBorder="1" applyAlignment="1">
      <alignment horizontal="center" vertical="center"/>
    </xf>
    <xf numFmtId="164" fontId="0" fillId="0" borderId="69" xfId="0" applyNumberFormat="1" applyFont="1" applyBorder="1" applyAlignment="1">
      <alignment horizontal="center" vertical="center"/>
    </xf>
    <xf numFmtId="164" fontId="0" fillId="0" borderId="67" xfId="0" applyNumberFormat="1" applyFont="1" applyBorder="1" applyAlignment="1">
      <alignment horizontal="center" vertical="center"/>
    </xf>
    <xf numFmtId="164" fontId="0" fillId="0" borderId="66" xfId="0" applyNumberFormat="1" applyFont="1" applyBorder="1" applyAlignment="1">
      <alignment horizontal="center" vertical="center"/>
    </xf>
    <xf numFmtId="1" fontId="0" fillId="0" borderId="67" xfId="0" applyNumberFormat="1" applyFont="1" applyFill="1" applyBorder="1" applyAlignment="1">
      <alignment horizontal="center" vertical="center"/>
    </xf>
    <xf numFmtId="1" fontId="0" fillId="0" borderId="69" xfId="0" applyNumberFormat="1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0" fontId="2" fillId="5" borderId="76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0" fillId="0" borderId="19" xfId="0" applyBorder="1"/>
    <xf numFmtId="0" fontId="17" fillId="2" borderId="43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9" xfId="0" applyBorder="1"/>
    <xf numFmtId="0" fontId="0" fillId="0" borderId="15" xfId="0" applyBorder="1"/>
    <xf numFmtId="0" fontId="2" fillId="2" borderId="3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4" fontId="0" fillId="4" borderId="66" xfId="0" applyNumberFormat="1" applyFill="1" applyBorder="1" applyAlignment="1">
      <alignment horizontal="center" vertical="center"/>
    </xf>
    <xf numFmtId="0" fontId="13" fillId="4" borderId="67" xfId="0" applyFont="1" applyFill="1" applyBorder="1" applyAlignment="1">
      <alignment horizontal="center" vertical="center"/>
    </xf>
    <xf numFmtId="164" fontId="0" fillId="0" borderId="67" xfId="0" applyNumberFormat="1" applyBorder="1" applyAlignment="1">
      <alignment horizontal="center" vertical="center"/>
    </xf>
    <xf numFmtId="164" fontId="0" fillId="0" borderId="66" xfId="0" applyNumberFormat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13" fillId="0" borderId="2" xfId="0" quotePrefix="1" applyNumberFormat="1" applyFon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0" fillId="0" borderId="13" xfId="0" applyNumberFormat="1" applyFill="1" applyBorder="1" applyAlignment="1">
      <alignment horizontal="center"/>
    </xf>
    <xf numFmtId="164" fontId="0" fillId="0" borderId="65" xfId="0" applyNumberFormat="1" applyBorder="1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164" fontId="0" fillId="0" borderId="61" xfId="0" applyNumberFormat="1" applyBorder="1" applyAlignment="1">
      <alignment horizontal="center" vertical="center"/>
    </xf>
    <xf numFmtId="0" fontId="2" fillId="5" borderId="83" xfId="0" applyFont="1" applyFill="1" applyBorder="1" applyAlignment="1">
      <alignment horizontal="center" wrapText="1"/>
    </xf>
    <xf numFmtId="0" fontId="2" fillId="5" borderId="5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wrapText="1"/>
    </xf>
    <xf numFmtId="0" fontId="2" fillId="2" borderId="84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164" fontId="0" fillId="0" borderId="85" xfId="0" applyNumberFormat="1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0" fontId="2" fillId="5" borderId="19" xfId="0" applyFont="1" applyFill="1" applyBorder="1" applyAlignment="1">
      <alignment horizontal="center" wrapText="1"/>
    </xf>
    <xf numFmtId="0" fontId="2" fillId="5" borderId="51" xfId="0" applyFont="1" applyFill="1" applyBorder="1" applyAlignment="1">
      <alignment horizontal="center" wrapText="1"/>
    </xf>
    <xf numFmtId="16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85" xfId="0" applyFont="1" applyFill="1" applyBorder="1" applyAlignment="1">
      <alignment horizontal="center" vertical="center" wrapText="1"/>
    </xf>
    <xf numFmtId="0" fontId="14" fillId="6" borderId="6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justify" vertical="justify" wrapText="1"/>
    </xf>
    <xf numFmtId="0" fontId="5" fillId="5" borderId="30" xfId="0" applyFont="1" applyFill="1" applyBorder="1" applyAlignment="1">
      <alignment horizontal="justify" vertical="justify" wrapText="1"/>
    </xf>
    <xf numFmtId="0" fontId="5" fillId="5" borderId="32" xfId="0" applyFont="1" applyFill="1" applyBorder="1" applyAlignment="1">
      <alignment horizontal="justify" vertical="justify" wrapText="1"/>
    </xf>
    <xf numFmtId="0" fontId="5" fillId="5" borderId="35" xfId="0" applyFont="1" applyFill="1" applyBorder="1" applyAlignment="1">
      <alignment horizontal="justify" vertical="justify" wrapText="1"/>
    </xf>
    <xf numFmtId="0" fontId="5" fillId="5" borderId="0" xfId="0" applyFont="1" applyFill="1" applyBorder="1" applyAlignment="1">
      <alignment horizontal="justify" vertical="justify" wrapText="1"/>
    </xf>
    <xf numFmtId="0" fontId="5" fillId="5" borderId="34" xfId="0" applyFont="1" applyFill="1" applyBorder="1" applyAlignment="1">
      <alignment horizontal="justify" vertical="justify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2" fillId="2" borderId="9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justify" vertical="justify" wrapText="1"/>
    </xf>
    <xf numFmtId="0" fontId="5" fillId="5" borderId="15" xfId="0" applyFont="1" applyFill="1" applyBorder="1" applyAlignment="1">
      <alignment horizontal="justify" vertical="justify" wrapText="1"/>
    </xf>
    <xf numFmtId="0" fontId="5" fillId="5" borderId="24" xfId="0" applyFont="1" applyFill="1" applyBorder="1" applyAlignment="1">
      <alignment horizontal="justify" vertical="justify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11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8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10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1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0" fillId="4" borderId="85" xfId="0" applyNumberFormat="1" applyFill="1" applyBorder="1" applyAlignment="1">
      <alignment horizontal="center" vertical="center"/>
    </xf>
    <xf numFmtId="164" fontId="0" fillId="4" borderId="60" xfId="0" applyNumberForma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164" fontId="13" fillId="4" borderId="32" xfId="0" applyNumberFormat="1" applyFont="1" applyFill="1" applyBorder="1" applyAlignment="1">
      <alignment horizontal="center" vertical="center"/>
    </xf>
    <xf numFmtId="169" fontId="0" fillId="0" borderId="67" xfId="0" applyNumberFormat="1" applyFont="1" applyFill="1" applyBorder="1" applyAlignment="1">
      <alignment horizontal="center" vertical="center"/>
    </xf>
    <xf numFmtId="169" fontId="0" fillId="0" borderId="6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9525</xdr:colOff>
      <xdr:row>5</xdr:row>
      <xdr:rowOff>19049</xdr:rowOff>
    </xdr:from>
    <xdr:to>
      <xdr:col>59</xdr:col>
      <xdr:colOff>352425</xdr:colOff>
      <xdr:row>8</xdr:row>
      <xdr:rowOff>200024</xdr:rowOff>
    </xdr:to>
    <xdr:pic>
      <xdr:nvPicPr>
        <xdr:cNvPr id="15" name="Imagem 1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75200" y="1200149"/>
          <a:ext cx="52197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161</xdr:col>
      <xdr:colOff>9525</xdr:colOff>
      <xdr:row>5</xdr:row>
      <xdr:rowOff>0</xdr:rowOff>
    </xdr:from>
    <xdr:to>
      <xdr:col>171</xdr:col>
      <xdr:colOff>445347</xdr:colOff>
      <xdr:row>19</xdr:row>
      <xdr:rowOff>26951</xdr:rowOff>
    </xdr:to>
    <xdr:pic>
      <xdr:nvPicPr>
        <xdr:cNvPr id="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231200" y="1181100"/>
          <a:ext cx="6531822" cy="3198776"/>
        </a:xfrm>
        <a:prstGeom prst="rect">
          <a:avLst/>
        </a:prstGeom>
        <a:noFill/>
      </xdr:spPr>
    </xdr:pic>
    <xdr:clientData/>
  </xdr:twoCellAnchor>
  <xdr:twoCellAnchor editAs="oneCell">
    <xdr:from>
      <xdr:col>96</xdr:col>
      <xdr:colOff>600074</xdr:colOff>
      <xdr:row>4</xdr:row>
      <xdr:rowOff>240707</xdr:rowOff>
    </xdr:from>
    <xdr:to>
      <xdr:col>101</xdr:col>
      <xdr:colOff>256906</xdr:colOff>
      <xdr:row>19</xdr:row>
      <xdr:rowOff>47624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197749" y="1164632"/>
          <a:ext cx="2704832" cy="3254967"/>
        </a:xfrm>
        <a:prstGeom prst="rect">
          <a:avLst/>
        </a:prstGeom>
        <a:noFill/>
      </xdr:spPr>
    </xdr:pic>
    <xdr:clientData/>
  </xdr:twoCellAnchor>
  <xdr:twoCellAnchor editAs="oneCell">
    <xdr:from>
      <xdr:col>90</xdr:col>
      <xdr:colOff>600073</xdr:colOff>
      <xdr:row>4</xdr:row>
      <xdr:rowOff>251781</xdr:rowOff>
    </xdr:from>
    <xdr:to>
      <xdr:col>95</xdr:col>
      <xdr:colOff>430600</xdr:colOff>
      <xdr:row>18</xdr:row>
      <xdr:rowOff>180975</xdr:rowOff>
    </xdr:to>
    <xdr:pic>
      <xdr:nvPicPr>
        <xdr:cNvPr id="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540148" y="1175706"/>
          <a:ext cx="2878527" cy="3167694"/>
        </a:xfrm>
        <a:prstGeom prst="rect">
          <a:avLst/>
        </a:prstGeom>
        <a:noFill/>
      </xdr:spPr>
    </xdr:pic>
    <xdr:clientData/>
  </xdr:twoCellAnchor>
  <xdr:twoCellAnchor editAs="oneCell">
    <xdr:from>
      <xdr:col>85</xdr:col>
      <xdr:colOff>584761</xdr:colOff>
      <xdr:row>5</xdr:row>
      <xdr:rowOff>9525</xdr:rowOff>
    </xdr:from>
    <xdr:to>
      <xdr:col>90</xdr:col>
      <xdr:colOff>9524</xdr:colOff>
      <xdr:row>19</xdr:row>
      <xdr:rowOff>4784</xdr:rowOff>
    </xdr:to>
    <xdr:pic>
      <xdr:nvPicPr>
        <xdr:cNvPr id="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476836" y="1190625"/>
          <a:ext cx="2472763" cy="3167084"/>
        </a:xfrm>
        <a:prstGeom prst="rect">
          <a:avLst/>
        </a:prstGeom>
        <a:noFill/>
      </xdr:spPr>
    </xdr:pic>
    <xdr:clientData/>
  </xdr:twoCellAnchor>
  <xdr:twoCellAnchor>
    <xdr:from>
      <xdr:col>88</xdr:col>
      <xdr:colOff>95249</xdr:colOff>
      <xdr:row>10</xdr:row>
      <xdr:rowOff>19049</xdr:rowOff>
    </xdr:from>
    <xdr:to>
      <xdr:col>89</xdr:col>
      <xdr:colOff>419100</xdr:colOff>
      <xdr:row>11</xdr:row>
      <xdr:rowOff>180975</xdr:rowOff>
    </xdr:to>
    <xdr:sp macro="" textlink="">
      <xdr:nvSpPr>
        <xdr:cNvPr id="25" name="Oval 24"/>
        <xdr:cNvSpPr/>
      </xdr:nvSpPr>
      <xdr:spPr>
        <a:xfrm>
          <a:off x="52816124" y="2238374"/>
          <a:ext cx="933451" cy="36195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91</xdr:col>
      <xdr:colOff>342900</xdr:colOff>
      <xdr:row>9</xdr:row>
      <xdr:rowOff>9525</xdr:rowOff>
    </xdr:from>
    <xdr:to>
      <xdr:col>93</xdr:col>
      <xdr:colOff>57151</xdr:colOff>
      <xdr:row>11</xdr:row>
      <xdr:rowOff>1</xdr:rowOff>
    </xdr:to>
    <xdr:sp macro="" textlink="">
      <xdr:nvSpPr>
        <xdr:cNvPr id="26" name="Oval 25"/>
        <xdr:cNvSpPr/>
      </xdr:nvSpPr>
      <xdr:spPr>
        <a:xfrm>
          <a:off x="54892575" y="2028825"/>
          <a:ext cx="933451" cy="39052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97</xdr:col>
      <xdr:colOff>561975</xdr:colOff>
      <xdr:row>12</xdr:row>
      <xdr:rowOff>142875</xdr:rowOff>
    </xdr:from>
    <xdr:to>
      <xdr:col>99</xdr:col>
      <xdr:colOff>276226</xdr:colOff>
      <xdr:row>14</xdr:row>
      <xdr:rowOff>123826</xdr:rowOff>
    </xdr:to>
    <xdr:sp macro="" textlink="">
      <xdr:nvSpPr>
        <xdr:cNvPr id="27" name="Oval 26"/>
        <xdr:cNvSpPr/>
      </xdr:nvSpPr>
      <xdr:spPr>
        <a:xfrm>
          <a:off x="58769250" y="2762250"/>
          <a:ext cx="933451" cy="3810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3</a:t>
          </a:r>
        </a:p>
      </xdr:txBody>
    </xdr:sp>
    <xdr:clientData/>
  </xdr:twoCellAnchor>
  <xdr:twoCellAnchor>
    <xdr:from>
      <xdr:col>97</xdr:col>
      <xdr:colOff>542925</xdr:colOff>
      <xdr:row>8</xdr:row>
      <xdr:rowOff>161926</xdr:rowOff>
    </xdr:from>
    <xdr:to>
      <xdr:col>99</xdr:col>
      <xdr:colOff>200025</xdr:colOff>
      <xdr:row>10</xdr:row>
      <xdr:rowOff>19051</xdr:rowOff>
    </xdr:to>
    <xdr:sp macro="" textlink="">
      <xdr:nvSpPr>
        <xdr:cNvPr id="28" name="Oval 27"/>
        <xdr:cNvSpPr/>
      </xdr:nvSpPr>
      <xdr:spPr>
        <a:xfrm>
          <a:off x="58750200" y="1981201"/>
          <a:ext cx="876300" cy="2571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2</a:t>
          </a:r>
        </a:p>
      </xdr:txBody>
    </xdr:sp>
    <xdr:clientData/>
  </xdr:twoCellAnchor>
  <xdr:twoCellAnchor>
    <xdr:from>
      <xdr:col>97</xdr:col>
      <xdr:colOff>361949</xdr:colOff>
      <xdr:row>6</xdr:row>
      <xdr:rowOff>57150</xdr:rowOff>
    </xdr:from>
    <xdr:to>
      <xdr:col>99</xdr:col>
      <xdr:colOff>28574</xdr:colOff>
      <xdr:row>7</xdr:row>
      <xdr:rowOff>104774</xdr:rowOff>
    </xdr:to>
    <xdr:sp macro="" textlink="">
      <xdr:nvSpPr>
        <xdr:cNvPr id="29" name="Oval 28"/>
        <xdr:cNvSpPr/>
      </xdr:nvSpPr>
      <xdr:spPr>
        <a:xfrm>
          <a:off x="58569224" y="1447800"/>
          <a:ext cx="885825" cy="26669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86</xdr:col>
      <xdr:colOff>600075</xdr:colOff>
      <xdr:row>15</xdr:row>
      <xdr:rowOff>28576</xdr:rowOff>
    </xdr:from>
    <xdr:to>
      <xdr:col>88</xdr:col>
      <xdr:colOff>428625</xdr:colOff>
      <xdr:row>16</xdr:row>
      <xdr:rowOff>133351</xdr:rowOff>
    </xdr:to>
    <xdr:sp macro="" textlink="">
      <xdr:nvSpPr>
        <xdr:cNvPr id="30" name="Oval 29"/>
        <xdr:cNvSpPr/>
      </xdr:nvSpPr>
      <xdr:spPr>
        <a:xfrm>
          <a:off x="52101750" y="3248026"/>
          <a:ext cx="1047750" cy="304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92</xdr:col>
      <xdr:colOff>180976</xdr:colOff>
      <xdr:row>13</xdr:row>
      <xdr:rowOff>118431</xdr:rowOff>
    </xdr:from>
    <xdr:to>
      <xdr:col>94</xdr:col>
      <xdr:colOff>552450</xdr:colOff>
      <xdr:row>15</xdr:row>
      <xdr:rowOff>23181</xdr:rowOff>
    </xdr:to>
    <xdr:sp macro="" textlink="">
      <xdr:nvSpPr>
        <xdr:cNvPr id="31" name="Oval 30"/>
        <xdr:cNvSpPr/>
      </xdr:nvSpPr>
      <xdr:spPr>
        <a:xfrm>
          <a:off x="55340251" y="2937831"/>
          <a:ext cx="1590674" cy="304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97</xdr:col>
      <xdr:colOff>600074</xdr:colOff>
      <xdr:row>17</xdr:row>
      <xdr:rowOff>88307</xdr:rowOff>
    </xdr:from>
    <xdr:to>
      <xdr:col>99</xdr:col>
      <xdr:colOff>428624</xdr:colOff>
      <xdr:row>18</xdr:row>
      <xdr:rowOff>152400</xdr:rowOff>
    </xdr:to>
    <xdr:sp macro="" textlink="">
      <xdr:nvSpPr>
        <xdr:cNvPr id="32" name="Oval 31"/>
        <xdr:cNvSpPr/>
      </xdr:nvSpPr>
      <xdr:spPr>
        <a:xfrm>
          <a:off x="58807349" y="3707807"/>
          <a:ext cx="1047750" cy="264118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95</xdr:col>
      <xdr:colOff>114300</xdr:colOff>
      <xdr:row>18</xdr:row>
      <xdr:rowOff>47625</xdr:rowOff>
    </xdr:from>
    <xdr:to>
      <xdr:col>97</xdr:col>
      <xdr:colOff>133350</xdr:colOff>
      <xdr:row>21</xdr:row>
      <xdr:rowOff>114300</xdr:rowOff>
    </xdr:to>
    <xdr:sp macro="" textlink="">
      <xdr:nvSpPr>
        <xdr:cNvPr id="33" name="Oval 32"/>
        <xdr:cNvSpPr/>
      </xdr:nvSpPr>
      <xdr:spPr>
        <a:xfrm>
          <a:off x="57102375" y="3867150"/>
          <a:ext cx="1238250" cy="6477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Dente da Fundação</a:t>
          </a:r>
        </a:p>
      </xdr:txBody>
    </xdr:sp>
    <xdr:clientData/>
  </xdr:twoCellAnchor>
  <xdr:twoCellAnchor>
    <xdr:from>
      <xdr:col>92</xdr:col>
      <xdr:colOff>85725</xdr:colOff>
      <xdr:row>18</xdr:row>
      <xdr:rowOff>133350</xdr:rowOff>
    </xdr:from>
    <xdr:to>
      <xdr:col>95</xdr:col>
      <xdr:colOff>419100</xdr:colOff>
      <xdr:row>19</xdr:row>
      <xdr:rowOff>161925</xdr:rowOff>
    </xdr:to>
    <xdr:cxnSp macro="">
      <xdr:nvCxnSpPr>
        <xdr:cNvPr id="34" name="Conexão recta unidireccional 33"/>
        <xdr:cNvCxnSpPr/>
      </xdr:nvCxnSpPr>
      <xdr:spPr>
        <a:xfrm>
          <a:off x="55245000" y="3952875"/>
          <a:ext cx="216217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514352</xdr:colOff>
      <xdr:row>19</xdr:row>
      <xdr:rowOff>57150</xdr:rowOff>
    </xdr:from>
    <xdr:to>
      <xdr:col>97</xdr:col>
      <xdr:colOff>552450</xdr:colOff>
      <xdr:row>19</xdr:row>
      <xdr:rowOff>161925</xdr:rowOff>
    </xdr:to>
    <xdr:cxnSp macro="">
      <xdr:nvCxnSpPr>
        <xdr:cNvPr id="35" name="Conexão recta unidireccional 34"/>
        <xdr:cNvCxnSpPr/>
      </xdr:nvCxnSpPr>
      <xdr:spPr>
        <a:xfrm flipH="1">
          <a:off x="58112027" y="4076700"/>
          <a:ext cx="647698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174</xdr:col>
      <xdr:colOff>10585</xdr:colOff>
      <xdr:row>5</xdr:row>
      <xdr:rowOff>20108</xdr:rowOff>
    </xdr:from>
    <xdr:to>
      <xdr:col>186</xdr:col>
      <xdr:colOff>523875</xdr:colOff>
      <xdr:row>18</xdr:row>
      <xdr:rowOff>164160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5157060" y="1201208"/>
          <a:ext cx="7828490" cy="2944402"/>
        </a:xfrm>
        <a:prstGeom prst="rect">
          <a:avLst/>
        </a:prstGeom>
        <a:noFill/>
      </xdr:spPr>
    </xdr:pic>
    <xdr:clientData/>
  </xdr:twoCellAnchor>
  <xdr:twoCellAnchor editAs="oneCell">
    <xdr:from>
      <xdr:col>189</xdr:col>
      <xdr:colOff>1059</xdr:colOff>
      <xdr:row>5</xdr:row>
      <xdr:rowOff>20111</xdr:rowOff>
    </xdr:from>
    <xdr:to>
      <xdr:col>202</xdr:col>
      <xdr:colOff>552450</xdr:colOff>
      <xdr:row>19</xdr:row>
      <xdr:rowOff>26516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4291534" y="1201211"/>
          <a:ext cx="8476191" cy="3006780"/>
        </a:xfrm>
        <a:prstGeom prst="rect">
          <a:avLst/>
        </a:prstGeom>
        <a:noFill/>
      </xdr:spPr>
    </xdr:pic>
    <xdr:clientData/>
  </xdr:twoCellAnchor>
  <xdr:twoCellAnchor editAs="oneCell">
    <xdr:from>
      <xdr:col>205</xdr:col>
      <xdr:colOff>12700</xdr:colOff>
      <xdr:row>4</xdr:row>
      <xdr:rowOff>252942</xdr:rowOff>
    </xdr:from>
    <xdr:to>
      <xdr:col>216</xdr:col>
      <xdr:colOff>200025</xdr:colOff>
      <xdr:row>23</xdr:row>
      <xdr:rowOff>166796</xdr:rowOff>
    </xdr:to>
    <xdr:pic>
      <xdr:nvPicPr>
        <xdr:cNvPr id="3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056775" y="1176867"/>
          <a:ext cx="6892925" cy="3971504"/>
        </a:xfrm>
        <a:prstGeom prst="rect">
          <a:avLst/>
        </a:prstGeom>
        <a:noFill/>
      </xdr:spPr>
    </xdr:pic>
    <xdr:clientData/>
  </xdr:twoCellAnchor>
  <xdr:twoCellAnchor editAs="oneCell">
    <xdr:from>
      <xdr:col>216</xdr:col>
      <xdr:colOff>201083</xdr:colOff>
      <xdr:row>4</xdr:row>
      <xdr:rowOff>251884</xdr:rowOff>
    </xdr:from>
    <xdr:to>
      <xdr:col>226</xdr:col>
      <xdr:colOff>57150</xdr:colOff>
      <xdr:row>24</xdr:row>
      <xdr:rowOff>34572</xdr:rowOff>
    </xdr:to>
    <xdr:pic>
      <xdr:nvPicPr>
        <xdr:cNvPr id="3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0950758" y="1175809"/>
          <a:ext cx="5952067" cy="4049888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19051</xdr:colOff>
      <xdr:row>5</xdr:row>
      <xdr:rowOff>19049</xdr:rowOff>
    </xdr:from>
    <xdr:to>
      <xdr:col>27</xdr:col>
      <xdr:colOff>419100</xdr:colOff>
      <xdr:row>19</xdr:row>
      <xdr:rowOff>0</xdr:rowOff>
    </xdr:to>
    <xdr:pic>
      <xdr:nvPicPr>
        <xdr:cNvPr id="41" name="Imagem 40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25351" y="1200149"/>
          <a:ext cx="4057649" cy="2981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9525</xdr:colOff>
      <xdr:row>4</xdr:row>
      <xdr:rowOff>247649</xdr:rowOff>
    </xdr:from>
    <xdr:to>
      <xdr:col>18</xdr:col>
      <xdr:colOff>276225</xdr:colOff>
      <xdr:row>19</xdr:row>
      <xdr:rowOff>9524</xdr:rowOff>
    </xdr:to>
    <xdr:pic>
      <xdr:nvPicPr>
        <xdr:cNvPr id="42" name="Imagem 41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05525" y="1171574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33</xdr:col>
      <xdr:colOff>581025</xdr:colOff>
      <xdr:row>5</xdr:row>
      <xdr:rowOff>28575</xdr:rowOff>
    </xdr:from>
    <xdr:to>
      <xdr:col>41</xdr:col>
      <xdr:colOff>238125</xdr:colOff>
      <xdr:row>18</xdr:row>
      <xdr:rowOff>190500</xdr:rowOff>
    </xdr:to>
    <xdr:pic>
      <xdr:nvPicPr>
        <xdr:cNvPr id="43" name="Imagem 42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773900" y="1209675"/>
          <a:ext cx="4533900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65</xdr:col>
      <xdr:colOff>0</xdr:colOff>
      <xdr:row>5</xdr:row>
      <xdr:rowOff>19050</xdr:rowOff>
    </xdr:from>
    <xdr:to>
      <xdr:col>72</xdr:col>
      <xdr:colOff>428625</xdr:colOff>
      <xdr:row>18</xdr:row>
      <xdr:rowOff>190500</xdr:rowOff>
    </xdr:to>
    <xdr:pic>
      <xdr:nvPicPr>
        <xdr:cNvPr id="44" name="Imagem 43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700075" y="1200150"/>
          <a:ext cx="469582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76</xdr:col>
      <xdr:colOff>0</xdr:colOff>
      <xdr:row>5</xdr:row>
      <xdr:rowOff>0</xdr:rowOff>
    </xdr:from>
    <xdr:to>
      <xdr:col>84</xdr:col>
      <xdr:colOff>266700</xdr:colOff>
      <xdr:row>19</xdr:row>
      <xdr:rowOff>19050</xdr:rowOff>
    </xdr:to>
    <xdr:pic>
      <xdr:nvPicPr>
        <xdr:cNvPr id="45" name="Imagem 44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405675" y="1181100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149</xdr:col>
      <xdr:colOff>600075</xdr:colOff>
      <xdr:row>5</xdr:row>
      <xdr:rowOff>0</xdr:rowOff>
    </xdr:from>
    <xdr:to>
      <xdr:col>158</xdr:col>
      <xdr:colOff>257175</xdr:colOff>
      <xdr:row>19</xdr:row>
      <xdr:rowOff>19050</xdr:rowOff>
    </xdr:to>
    <xdr:pic>
      <xdr:nvPicPr>
        <xdr:cNvPr id="46" name="Imagem 45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0506550" y="1181100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9524</xdr:colOff>
      <xdr:row>5</xdr:row>
      <xdr:rowOff>19050</xdr:rowOff>
    </xdr:from>
    <xdr:to>
      <xdr:col>59</xdr:col>
      <xdr:colOff>304799</xdr:colOff>
      <xdr:row>8</xdr:row>
      <xdr:rowOff>171450</xdr:rowOff>
    </xdr:to>
    <xdr:pic>
      <xdr:nvPicPr>
        <xdr:cNvPr id="15" name="Imagem 1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75199" y="1200150"/>
          <a:ext cx="51720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161</xdr:col>
      <xdr:colOff>9525</xdr:colOff>
      <xdr:row>5</xdr:row>
      <xdr:rowOff>0</xdr:rowOff>
    </xdr:from>
    <xdr:to>
      <xdr:col>171</xdr:col>
      <xdr:colOff>445347</xdr:colOff>
      <xdr:row>19</xdr:row>
      <xdr:rowOff>26951</xdr:rowOff>
    </xdr:to>
    <xdr:pic>
      <xdr:nvPicPr>
        <xdr:cNvPr id="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231200" y="1181100"/>
          <a:ext cx="6531822" cy="3198776"/>
        </a:xfrm>
        <a:prstGeom prst="rect">
          <a:avLst/>
        </a:prstGeom>
        <a:noFill/>
      </xdr:spPr>
    </xdr:pic>
    <xdr:clientData/>
  </xdr:twoCellAnchor>
  <xdr:twoCellAnchor editAs="oneCell">
    <xdr:from>
      <xdr:col>96</xdr:col>
      <xdr:colOff>600074</xdr:colOff>
      <xdr:row>4</xdr:row>
      <xdr:rowOff>240707</xdr:rowOff>
    </xdr:from>
    <xdr:to>
      <xdr:col>101</xdr:col>
      <xdr:colOff>256906</xdr:colOff>
      <xdr:row>19</xdr:row>
      <xdr:rowOff>47624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197749" y="1164632"/>
          <a:ext cx="2704832" cy="3254967"/>
        </a:xfrm>
        <a:prstGeom prst="rect">
          <a:avLst/>
        </a:prstGeom>
        <a:noFill/>
      </xdr:spPr>
    </xdr:pic>
    <xdr:clientData/>
  </xdr:twoCellAnchor>
  <xdr:twoCellAnchor editAs="oneCell">
    <xdr:from>
      <xdr:col>90</xdr:col>
      <xdr:colOff>600073</xdr:colOff>
      <xdr:row>4</xdr:row>
      <xdr:rowOff>251781</xdr:rowOff>
    </xdr:from>
    <xdr:to>
      <xdr:col>95</xdr:col>
      <xdr:colOff>430600</xdr:colOff>
      <xdr:row>18</xdr:row>
      <xdr:rowOff>180975</xdr:rowOff>
    </xdr:to>
    <xdr:pic>
      <xdr:nvPicPr>
        <xdr:cNvPr id="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540148" y="1175706"/>
          <a:ext cx="2878527" cy="3167694"/>
        </a:xfrm>
        <a:prstGeom prst="rect">
          <a:avLst/>
        </a:prstGeom>
        <a:noFill/>
      </xdr:spPr>
    </xdr:pic>
    <xdr:clientData/>
  </xdr:twoCellAnchor>
  <xdr:twoCellAnchor editAs="oneCell">
    <xdr:from>
      <xdr:col>85</xdr:col>
      <xdr:colOff>584761</xdr:colOff>
      <xdr:row>5</xdr:row>
      <xdr:rowOff>9525</xdr:rowOff>
    </xdr:from>
    <xdr:to>
      <xdr:col>90</xdr:col>
      <xdr:colOff>9524</xdr:colOff>
      <xdr:row>19</xdr:row>
      <xdr:rowOff>4784</xdr:rowOff>
    </xdr:to>
    <xdr:pic>
      <xdr:nvPicPr>
        <xdr:cNvPr id="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476836" y="1190625"/>
          <a:ext cx="2472763" cy="3167084"/>
        </a:xfrm>
        <a:prstGeom prst="rect">
          <a:avLst/>
        </a:prstGeom>
        <a:noFill/>
      </xdr:spPr>
    </xdr:pic>
    <xdr:clientData/>
  </xdr:twoCellAnchor>
  <xdr:twoCellAnchor>
    <xdr:from>
      <xdr:col>88</xdr:col>
      <xdr:colOff>95249</xdr:colOff>
      <xdr:row>10</xdr:row>
      <xdr:rowOff>19049</xdr:rowOff>
    </xdr:from>
    <xdr:to>
      <xdr:col>89</xdr:col>
      <xdr:colOff>419100</xdr:colOff>
      <xdr:row>11</xdr:row>
      <xdr:rowOff>180975</xdr:rowOff>
    </xdr:to>
    <xdr:sp macro="" textlink="">
      <xdr:nvSpPr>
        <xdr:cNvPr id="25" name="Oval 24"/>
        <xdr:cNvSpPr/>
      </xdr:nvSpPr>
      <xdr:spPr>
        <a:xfrm>
          <a:off x="52816124" y="2238374"/>
          <a:ext cx="933451" cy="36195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91</xdr:col>
      <xdr:colOff>342900</xdr:colOff>
      <xdr:row>9</xdr:row>
      <xdr:rowOff>9525</xdr:rowOff>
    </xdr:from>
    <xdr:to>
      <xdr:col>93</xdr:col>
      <xdr:colOff>57151</xdr:colOff>
      <xdr:row>11</xdr:row>
      <xdr:rowOff>1</xdr:rowOff>
    </xdr:to>
    <xdr:sp macro="" textlink="">
      <xdr:nvSpPr>
        <xdr:cNvPr id="26" name="Oval 25"/>
        <xdr:cNvSpPr/>
      </xdr:nvSpPr>
      <xdr:spPr>
        <a:xfrm>
          <a:off x="54892575" y="2028825"/>
          <a:ext cx="933451" cy="39052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97</xdr:col>
      <xdr:colOff>561975</xdr:colOff>
      <xdr:row>12</xdr:row>
      <xdr:rowOff>142875</xdr:rowOff>
    </xdr:from>
    <xdr:to>
      <xdr:col>99</xdr:col>
      <xdr:colOff>276226</xdr:colOff>
      <xdr:row>14</xdr:row>
      <xdr:rowOff>123826</xdr:rowOff>
    </xdr:to>
    <xdr:sp macro="" textlink="">
      <xdr:nvSpPr>
        <xdr:cNvPr id="27" name="Oval 26"/>
        <xdr:cNvSpPr/>
      </xdr:nvSpPr>
      <xdr:spPr>
        <a:xfrm>
          <a:off x="58769250" y="2762250"/>
          <a:ext cx="933451" cy="3810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3</a:t>
          </a:r>
        </a:p>
      </xdr:txBody>
    </xdr:sp>
    <xdr:clientData/>
  </xdr:twoCellAnchor>
  <xdr:twoCellAnchor>
    <xdr:from>
      <xdr:col>97</xdr:col>
      <xdr:colOff>542925</xdr:colOff>
      <xdr:row>8</xdr:row>
      <xdr:rowOff>161926</xdr:rowOff>
    </xdr:from>
    <xdr:to>
      <xdr:col>99</xdr:col>
      <xdr:colOff>200025</xdr:colOff>
      <xdr:row>10</xdr:row>
      <xdr:rowOff>19051</xdr:rowOff>
    </xdr:to>
    <xdr:sp macro="" textlink="">
      <xdr:nvSpPr>
        <xdr:cNvPr id="28" name="Oval 27"/>
        <xdr:cNvSpPr/>
      </xdr:nvSpPr>
      <xdr:spPr>
        <a:xfrm>
          <a:off x="58750200" y="1981201"/>
          <a:ext cx="876300" cy="2571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2</a:t>
          </a:r>
        </a:p>
      </xdr:txBody>
    </xdr:sp>
    <xdr:clientData/>
  </xdr:twoCellAnchor>
  <xdr:twoCellAnchor>
    <xdr:from>
      <xdr:col>97</xdr:col>
      <xdr:colOff>361949</xdr:colOff>
      <xdr:row>6</xdr:row>
      <xdr:rowOff>57150</xdr:rowOff>
    </xdr:from>
    <xdr:to>
      <xdr:col>99</xdr:col>
      <xdr:colOff>28574</xdr:colOff>
      <xdr:row>7</xdr:row>
      <xdr:rowOff>104774</xdr:rowOff>
    </xdr:to>
    <xdr:sp macro="" textlink="">
      <xdr:nvSpPr>
        <xdr:cNvPr id="29" name="Oval 28"/>
        <xdr:cNvSpPr/>
      </xdr:nvSpPr>
      <xdr:spPr>
        <a:xfrm>
          <a:off x="58569224" y="1447800"/>
          <a:ext cx="885825" cy="26669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86</xdr:col>
      <xdr:colOff>600075</xdr:colOff>
      <xdr:row>15</xdr:row>
      <xdr:rowOff>28576</xdr:rowOff>
    </xdr:from>
    <xdr:to>
      <xdr:col>88</xdr:col>
      <xdr:colOff>428625</xdr:colOff>
      <xdr:row>16</xdr:row>
      <xdr:rowOff>133351</xdr:rowOff>
    </xdr:to>
    <xdr:sp macro="" textlink="">
      <xdr:nvSpPr>
        <xdr:cNvPr id="30" name="Oval 29"/>
        <xdr:cNvSpPr/>
      </xdr:nvSpPr>
      <xdr:spPr>
        <a:xfrm>
          <a:off x="52101750" y="3248026"/>
          <a:ext cx="1047750" cy="304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92</xdr:col>
      <xdr:colOff>180976</xdr:colOff>
      <xdr:row>13</xdr:row>
      <xdr:rowOff>118431</xdr:rowOff>
    </xdr:from>
    <xdr:to>
      <xdr:col>94</xdr:col>
      <xdr:colOff>552450</xdr:colOff>
      <xdr:row>15</xdr:row>
      <xdr:rowOff>23181</xdr:rowOff>
    </xdr:to>
    <xdr:sp macro="" textlink="">
      <xdr:nvSpPr>
        <xdr:cNvPr id="31" name="Oval 30"/>
        <xdr:cNvSpPr/>
      </xdr:nvSpPr>
      <xdr:spPr>
        <a:xfrm>
          <a:off x="55340251" y="2937831"/>
          <a:ext cx="1590674" cy="304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97</xdr:col>
      <xdr:colOff>600074</xdr:colOff>
      <xdr:row>17</xdr:row>
      <xdr:rowOff>88307</xdr:rowOff>
    </xdr:from>
    <xdr:to>
      <xdr:col>99</xdr:col>
      <xdr:colOff>428624</xdr:colOff>
      <xdr:row>18</xdr:row>
      <xdr:rowOff>152400</xdr:rowOff>
    </xdr:to>
    <xdr:sp macro="" textlink="">
      <xdr:nvSpPr>
        <xdr:cNvPr id="32" name="Oval 31"/>
        <xdr:cNvSpPr/>
      </xdr:nvSpPr>
      <xdr:spPr>
        <a:xfrm>
          <a:off x="58807349" y="3707807"/>
          <a:ext cx="1047750" cy="264118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95</xdr:col>
      <xdr:colOff>114300</xdr:colOff>
      <xdr:row>18</xdr:row>
      <xdr:rowOff>47625</xdr:rowOff>
    </xdr:from>
    <xdr:to>
      <xdr:col>97</xdr:col>
      <xdr:colOff>133350</xdr:colOff>
      <xdr:row>21</xdr:row>
      <xdr:rowOff>114300</xdr:rowOff>
    </xdr:to>
    <xdr:sp macro="" textlink="">
      <xdr:nvSpPr>
        <xdr:cNvPr id="33" name="Oval 32"/>
        <xdr:cNvSpPr/>
      </xdr:nvSpPr>
      <xdr:spPr>
        <a:xfrm>
          <a:off x="57102375" y="3867150"/>
          <a:ext cx="1238250" cy="6477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Dente da Fundação</a:t>
          </a:r>
        </a:p>
      </xdr:txBody>
    </xdr:sp>
    <xdr:clientData/>
  </xdr:twoCellAnchor>
  <xdr:twoCellAnchor>
    <xdr:from>
      <xdr:col>92</xdr:col>
      <xdr:colOff>85725</xdr:colOff>
      <xdr:row>18</xdr:row>
      <xdr:rowOff>133350</xdr:rowOff>
    </xdr:from>
    <xdr:to>
      <xdr:col>95</xdr:col>
      <xdr:colOff>419100</xdr:colOff>
      <xdr:row>19</xdr:row>
      <xdr:rowOff>161925</xdr:rowOff>
    </xdr:to>
    <xdr:cxnSp macro="">
      <xdr:nvCxnSpPr>
        <xdr:cNvPr id="34" name="Conexão recta unidireccional 33"/>
        <xdr:cNvCxnSpPr/>
      </xdr:nvCxnSpPr>
      <xdr:spPr>
        <a:xfrm>
          <a:off x="55245000" y="3952875"/>
          <a:ext cx="216217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514352</xdr:colOff>
      <xdr:row>19</xdr:row>
      <xdr:rowOff>57150</xdr:rowOff>
    </xdr:from>
    <xdr:to>
      <xdr:col>97</xdr:col>
      <xdr:colOff>552450</xdr:colOff>
      <xdr:row>19</xdr:row>
      <xdr:rowOff>161925</xdr:rowOff>
    </xdr:to>
    <xdr:cxnSp macro="">
      <xdr:nvCxnSpPr>
        <xdr:cNvPr id="35" name="Conexão recta unidireccional 34"/>
        <xdr:cNvCxnSpPr/>
      </xdr:nvCxnSpPr>
      <xdr:spPr>
        <a:xfrm flipH="1">
          <a:off x="58112027" y="4076700"/>
          <a:ext cx="647698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174</xdr:col>
      <xdr:colOff>20110</xdr:colOff>
      <xdr:row>5</xdr:row>
      <xdr:rowOff>58207</xdr:rowOff>
    </xdr:from>
    <xdr:to>
      <xdr:col>186</xdr:col>
      <xdr:colOff>466725</xdr:colOff>
      <xdr:row>18</xdr:row>
      <xdr:rowOff>177182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5166585" y="1239307"/>
          <a:ext cx="7761815" cy="2919325"/>
        </a:xfrm>
        <a:prstGeom prst="rect">
          <a:avLst/>
        </a:prstGeom>
        <a:noFill/>
      </xdr:spPr>
    </xdr:pic>
    <xdr:clientData/>
  </xdr:twoCellAnchor>
  <xdr:twoCellAnchor editAs="oneCell">
    <xdr:from>
      <xdr:col>189</xdr:col>
      <xdr:colOff>10585</xdr:colOff>
      <xdr:row>5</xdr:row>
      <xdr:rowOff>39161</xdr:rowOff>
    </xdr:from>
    <xdr:to>
      <xdr:col>202</xdr:col>
      <xdr:colOff>379821</xdr:colOff>
      <xdr:row>18</xdr:row>
      <xdr:rowOff>180975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4301060" y="1220261"/>
          <a:ext cx="8294036" cy="2942164"/>
        </a:xfrm>
        <a:prstGeom prst="rect">
          <a:avLst/>
        </a:prstGeom>
        <a:noFill/>
      </xdr:spPr>
    </xdr:pic>
    <xdr:clientData/>
  </xdr:twoCellAnchor>
  <xdr:twoCellAnchor editAs="oneCell">
    <xdr:from>
      <xdr:col>204</xdr:col>
      <xdr:colOff>603252</xdr:colOff>
      <xdr:row>4</xdr:row>
      <xdr:rowOff>252942</xdr:rowOff>
    </xdr:from>
    <xdr:to>
      <xdr:col>216</xdr:col>
      <xdr:colOff>209550</xdr:colOff>
      <xdr:row>23</xdr:row>
      <xdr:rowOff>183260</xdr:rowOff>
    </xdr:to>
    <xdr:pic>
      <xdr:nvPicPr>
        <xdr:cNvPr id="3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037727" y="1176867"/>
          <a:ext cx="6921498" cy="3987968"/>
        </a:xfrm>
        <a:prstGeom prst="rect">
          <a:avLst/>
        </a:prstGeom>
        <a:noFill/>
      </xdr:spPr>
    </xdr:pic>
    <xdr:clientData/>
  </xdr:twoCellAnchor>
  <xdr:twoCellAnchor editAs="oneCell">
    <xdr:from>
      <xdr:col>216</xdr:col>
      <xdr:colOff>210609</xdr:colOff>
      <xdr:row>4</xdr:row>
      <xdr:rowOff>251884</xdr:rowOff>
    </xdr:from>
    <xdr:to>
      <xdr:col>226</xdr:col>
      <xdr:colOff>0</xdr:colOff>
      <xdr:row>23</xdr:row>
      <xdr:rowOff>198754</xdr:rowOff>
    </xdr:to>
    <xdr:pic>
      <xdr:nvPicPr>
        <xdr:cNvPr id="3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0960284" y="1175809"/>
          <a:ext cx="5885391" cy="400452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9525</xdr:colOff>
      <xdr:row>5</xdr:row>
      <xdr:rowOff>9525</xdr:rowOff>
    </xdr:from>
    <xdr:to>
      <xdr:col>27</xdr:col>
      <xdr:colOff>409574</xdr:colOff>
      <xdr:row>18</xdr:row>
      <xdr:rowOff>190501</xdr:rowOff>
    </xdr:to>
    <xdr:pic>
      <xdr:nvPicPr>
        <xdr:cNvPr id="40" name="Imagem 39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15825" y="1190625"/>
          <a:ext cx="4057649" cy="2981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19050</xdr:rowOff>
    </xdr:from>
    <xdr:to>
      <xdr:col>18</xdr:col>
      <xdr:colOff>323850</xdr:colOff>
      <xdr:row>19</xdr:row>
      <xdr:rowOff>9525</xdr:rowOff>
    </xdr:to>
    <xdr:pic>
      <xdr:nvPicPr>
        <xdr:cNvPr id="41" name="Imagem 40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96000" y="1200150"/>
          <a:ext cx="520065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0</xdr:colOff>
      <xdr:row>5</xdr:row>
      <xdr:rowOff>9525</xdr:rowOff>
    </xdr:from>
    <xdr:to>
      <xdr:col>41</xdr:col>
      <xdr:colOff>142875</xdr:colOff>
      <xdr:row>18</xdr:row>
      <xdr:rowOff>180975</xdr:rowOff>
    </xdr:to>
    <xdr:pic>
      <xdr:nvPicPr>
        <xdr:cNvPr id="42" name="Imagem 41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802475" y="1190625"/>
          <a:ext cx="441007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65</xdr:col>
      <xdr:colOff>0</xdr:colOff>
      <xdr:row>5</xdr:row>
      <xdr:rowOff>9525</xdr:rowOff>
    </xdr:from>
    <xdr:to>
      <xdr:col>72</xdr:col>
      <xdr:colOff>485775</xdr:colOff>
      <xdr:row>18</xdr:row>
      <xdr:rowOff>180975</xdr:rowOff>
    </xdr:to>
    <xdr:pic>
      <xdr:nvPicPr>
        <xdr:cNvPr id="43" name="Imagem 42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700075" y="1190625"/>
          <a:ext cx="475297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76</xdr:col>
      <xdr:colOff>9525</xdr:colOff>
      <xdr:row>5</xdr:row>
      <xdr:rowOff>19050</xdr:rowOff>
    </xdr:from>
    <xdr:to>
      <xdr:col>84</xdr:col>
      <xdr:colOff>276225</xdr:colOff>
      <xdr:row>19</xdr:row>
      <xdr:rowOff>38100</xdr:rowOff>
    </xdr:to>
    <xdr:pic>
      <xdr:nvPicPr>
        <xdr:cNvPr id="44" name="Imagem 43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415200" y="1200150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150</xdr:col>
      <xdr:colOff>0</xdr:colOff>
      <xdr:row>5</xdr:row>
      <xdr:rowOff>9525</xdr:rowOff>
    </xdr:from>
    <xdr:to>
      <xdr:col>158</xdr:col>
      <xdr:colOff>266700</xdr:colOff>
      <xdr:row>19</xdr:row>
      <xdr:rowOff>28575</xdr:rowOff>
    </xdr:to>
    <xdr:pic>
      <xdr:nvPicPr>
        <xdr:cNvPr id="45" name="Imagem 44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0516075" y="1190625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9524</xdr:colOff>
      <xdr:row>5</xdr:row>
      <xdr:rowOff>19050</xdr:rowOff>
    </xdr:from>
    <xdr:to>
      <xdr:col>59</xdr:col>
      <xdr:colOff>304799</xdr:colOff>
      <xdr:row>8</xdr:row>
      <xdr:rowOff>76200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75199" y="1200150"/>
          <a:ext cx="51720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161</xdr:col>
      <xdr:colOff>9525</xdr:colOff>
      <xdr:row>5</xdr:row>
      <xdr:rowOff>0</xdr:rowOff>
    </xdr:from>
    <xdr:to>
      <xdr:col>171</xdr:col>
      <xdr:colOff>445347</xdr:colOff>
      <xdr:row>17</xdr:row>
      <xdr:rowOff>131726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231200" y="1181100"/>
          <a:ext cx="6531822" cy="3027326"/>
        </a:xfrm>
        <a:prstGeom prst="rect">
          <a:avLst/>
        </a:prstGeom>
        <a:noFill/>
      </xdr:spPr>
    </xdr:pic>
    <xdr:clientData/>
  </xdr:twoCellAnchor>
  <xdr:twoCellAnchor editAs="oneCell">
    <xdr:from>
      <xdr:col>96</xdr:col>
      <xdr:colOff>600074</xdr:colOff>
      <xdr:row>4</xdr:row>
      <xdr:rowOff>240707</xdr:rowOff>
    </xdr:from>
    <xdr:to>
      <xdr:col>101</xdr:col>
      <xdr:colOff>256906</xdr:colOff>
      <xdr:row>17</xdr:row>
      <xdr:rowOff>133349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197749" y="1164632"/>
          <a:ext cx="2704832" cy="3064467"/>
        </a:xfrm>
        <a:prstGeom prst="rect">
          <a:avLst/>
        </a:prstGeom>
        <a:noFill/>
      </xdr:spPr>
    </xdr:pic>
    <xdr:clientData/>
  </xdr:twoCellAnchor>
  <xdr:twoCellAnchor editAs="oneCell">
    <xdr:from>
      <xdr:col>90</xdr:col>
      <xdr:colOff>600073</xdr:colOff>
      <xdr:row>4</xdr:row>
      <xdr:rowOff>251781</xdr:rowOff>
    </xdr:from>
    <xdr:to>
      <xdr:col>95</xdr:col>
      <xdr:colOff>430600</xdr:colOff>
      <xdr:row>17</xdr:row>
      <xdr:rowOff>85725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540148" y="1175706"/>
          <a:ext cx="2878527" cy="2986719"/>
        </a:xfrm>
        <a:prstGeom prst="rect">
          <a:avLst/>
        </a:prstGeom>
        <a:noFill/>
      </xdr:spPr>
    </xdr:pic>
    <xdr:clientData/>
  </xdr:twoCellAnchor>
  <xdr:twoCellAnchor editAs="oneCell">
    <xdr:from>
      <xdr:col>85</xdr:col>
      <xdr:colOff>584761</xdr:colOff>
      <xdr:row>5</xdr:row>
      <xdr:rowOff>9525</xdr:rowOff>
    </xdr:from>
    <xdr:to>
      <xdr:col>90</xdr:col>
      <xdr:colOff>9524</xdr:colOff>
      <xdr:row>17</xdr:row>
      <xdr:rowOff>109559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476836" y="1190625"/>
          <a:ext cx="2472763" cy="2995634"/>
        </a:xfrm>
        <a:prstGeom prst="rect">
          <a:avLst/>
        </a:prstGeom>
        <a:noFill/>
      </xdr:spPr>
    </xdr:pic>
    <xdr:clientData/>
  </xdr:twoCellAnchor>
  <xdr:twoCellAnchor>
    <xdr:from>
      <xdr:col>88</xdr:col>
      <xdr:colOff>95249</xdr:colOff>
      <xdr:row>10</xdr:row>
      <xdr:rowOff>19049</xdr:rowOff>
    </xdr:from>
    <xdr:to>
      <xdr:col>89</xdr:col>
      <xdr:colOff>419100</xdr:colOff>
      <xdr:row>11</xdr:row>
      <xdr:rowOff>180975</xdr:rowOff>
    </xdr:to>
    <xdr:sp macro="" textlink="">
      <xdr:nvSpPr>
        <xdr:cNvPr id="7" name="Oval 6"/>
        <xdr:cNvSpPr/>
      </xdr:nvSpPr>
      <xdr:spPr>
        <a:xfrm>
          <a:off x="52816124" y="2266949"/>
          <a:ext cx="933451" cy="36195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91</xdr:col>
      <xdr:colOff>342900</xdr:colOff>
      <xdr:row>9</xdr:row>
      <xdr:rowOff>9525</xdr:rowOff>
    </xdr:from>
    <xdr:to>
      <xdr:col>93</xdr:col>
      <xdr:colOff>57151</xdr:colOff>
      <xdr:row>11</xdr:row>
      <xdr:rowOff>1</xdr:rowOff>
    </xdr:to>
    <xdr:sp macro="" textlink="">
      <xdr:nvSpPr>
        <xdr:cNvPr id="8" name="Oval 7"/>
        <xdr:cNvSpPr/>
      </xdr:nvSpPr>
      <xdr:spPr>
        <a:xfrm>
          <a:off x="54892575" y="2057400"/>
          <a:ext cx="933451" cy="39052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97</xdr:col>
      <xdr:colOff>561975</xdr:colOff>
      <xdr:row>12</xdr:row>
      <xdr:rowOff>142875</xdr:rowOff>
    </xdr:from>
    <xdr:to>
      <xdr:col>99</xdr:col>
      <xdr:colOff>276226</xdr:colOff>
      <xdr:row>14</xdr:row>
      <xdr:rowOff>123826</xdr:rowOff>
    </xdr:to>
    <xdr:sp macro="" textlink="">
      <xdr:nvSpPr>
        <xdr:cNvPr id="9" name="Oval 8"/>
        <xdr:cNvSpPr/>
      </xdr:nvSpPr>
      <xdr:spPr>
        <a:xfrm>
          <a:off x="58769250" y="2838450"/>
          <a:ext cx="933451" cy="4191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3</a:t>
          </a:r>
        </a:p>
      </xdr:txBody>
    </xdr:sp>
    <xdr:clientData/>
  </xdr:twoCellAnchor>
  <xdr:twoCellAnchor>
    <xdr:from>
      <xdr:col>97</xdr:col>
      <xdr:colOff>542925</xdr:colOff>
      <xdr:row>8</xdr:row>
      <xdr:rowOff>161926</xdr:rowOff>
    </xdr:from>
    <xdr:to>
      <xdr:col>99</xdr:col>
      <xdr:colOff>200025</xdr:colOff>
      <xdr:row>10</xdr:row>
      <xdr:rowOff>19051</xdr:rowOff>
    </xdr:to>
    <xdr:sp macro="" textlink="">
      <xdr:nvSpPr>
        <xdr:cNvPr id="10" name="Oval 9"/>
        <xdr:cNvSpPr/>
      </xdr:nvSpPr>
      <xdr:spPr>
        <a:xfrm>
          <a:off x="58750200" y="2009776"/>
          <a:ext cx="876300" cy="2571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2</a:t>
          </a:r>
        </a:p>
      </xdr:txBody>
    </xdr:sp>
    <xdr:clientData/>
  </xdr:twoCellAnchor>
  <xdr:twoCellAnchor>
    <xdr:from>
      <xdr:col>97</xdr:col>
      <xdr:colOff>361949</xdr:colOff>
      <xdr:row>6</xdr:row>
      <xdr:rowOff>57150</xdr:rowOff>
    </xdr:from>
    <xdr:to>
      <xdr:col>99</xdr:col>
      <xdr:colOff>28574</xdr:colOff>
      <xdr:row>7</xdr:row>
      <xdr:rowOff>104774</xdr:rowOff>
    </xdr:to>
    <xdr:sp macro="" textlink="">
      <xdr:nvSpPr>
        <xdr:cNvPr id="11" name="Oval 10"/>
        <xdr:cNvSpPr/>
      </xdr:nvSpPr>
      <xdr:spPr>
        <a:xfrm>
          <a:off x="58569224" y="1447800"/>
          <a:ext cx="885825" cy="25717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Muro 1</a:t>
          </a:r>
        </a:p>
      </xdr:txBody>
    </xdr:sp>
    <xdr:clientData/>
  </xdr:twoCellAnchor>
  <xdr:twoCellAnchor>
    <xdr:from>
      <xdr:col>86</xdr:col>
      <xdr:colOff>600075</xdr:colOff>
      <xdr:row>15</xdr:row>
      <xdr:rowOff>28576</xdr:rowOff>
    </xdr:from>
    <xdr:to>
      <xdr:col>88</xdr:col>
      <xdr:colOff>428625</xdr:colOff>
      <xdr:row>16</xdr:row>
      <xdr:rowOff>133351</xdr:rowOff>
    </xdr:to>
    <xdr:sp macro="" textlink="">
      <xdr:nvSpPr>
        <xdr:cNvPr id="12" name="Oval 11"/>
        <xdr:cNvSpPr/>
      </xdr:nvSpPr>
      <xdr:spPr>
        <a:xfrm>
          <a:off x="52101750" y="3362326"/>
          <a:ext cx="1047750" cy="3048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92</xdr:col>
      <xdr:colOff>180976</xdr:colOff>
      <xdr:row>13</xdr:row>
      <xdr:rowOff>118431</xdr:rowOff>
    </xdr:from>
    <xdr:to>
      <xdr:col>94</xdr:col>
      <xdr:colOff>552450</xdr:colOff>
      <xdr:row>15</xdr:row>
      <xdr:rowOff>23181</xdr:rowOff>
    </xdr:to>
    <xdr:sp macro="" textlink="">
      <xdr:nvSpPr>
        <xdr:cNvPr id="13" name="Oval 12"/>
        <xdr:cNvSpPr/>
      </xdr:nvSpPr>
      <xdr:spPr>
        <a:xfrm>
          <a:off x="55340251" y="3061656"/>
          <a:ext cx="1590674" cy="2952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97</xdr:col>
      <xdr:colOff>600074</xdr:colOff>
      <xdr:row>17</xdr:row>
      <xdr:rowOff>88307</xdr:rowOff>
    </xdr:from>
    <xdr:to>
      <xdr:col>99</xdr:col>
      <xdr:colOff>428624</xdr:colOff>
      <xdr:row>18</xdr:row>
      <xdr:rowOff>152400</xdr:rowOff>
    </xdr:to>
    <xdr:sp macro="" textlink="">
      <xdr:nvSpPr>
        <xdr:cNvPr id="14" name="Oval 13"/>
        <xdr:cNvSpPr/>
      </xdr:nvSpPr>
      <xdr:spPr>
        <a:xfrm>
          <a:off x="58807349" y="3831632"/>
          <a:ext cx="1047750" cy="302218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Fundação</a:t>
          </a:r>
        </a:p>
      </xdr:txBody>
    </xdr:sp>
    <xdr:clientData/>
  </xdr:twoCellAnchor>
  <xdr:twoCellAnchor>
    <xdr:from>
      <xdr:col>95</xdr:col>
      <xdr:colOff>114300</xdr:colOff>
      <xdr:row>18</xdr:row>
      <xdr:rowOff>47625</xdr:rowOff>
    </xdr:from>
    <xdr:to>
      <xdr:col>97</xdr:col>
      <xdr:colOff>133350</xdr:colOff>
      <xdr:row>21</xdr:row>
      <xdr:rowOff>114300</xdr:rowOff>
    </xdr:to>
    <xdr:sp macro="" textlink="">
      <xdr:nvSpPr>
        <xdr:cNvPr id="15" name="Oval 14"/>
        <xdr:cNvSpPr/>
      </xdr:nvSpPr>
      <xdr:spPr>
        <a:xfrm>
          <a:off x="57102375" y="4029075"/>
          <a:ext cx="1238250" cy="6572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pt-PT" sz="1100"/>
            <a:t>Dente da Fundação</a:t>
          </a:r>
        </a:p>
      </xdr:txBody>
    </xdr:sp>
    <xdr:clientData/>
  </xdr:twoCellAnchor>
  <xdr:twoCellAnchor>
    <xdr:from>
      <xdr:col>92</xdr:col>
      <xdr:colOff>85725</xdr:colOff>
      <xdr:row>18</xdr:row>
      <xdr:rowOff>133350</xdr:rowOff>
    </xdr:from>
    <xdr:to>
      <xdr:col>95</xdr:col>
      <xdr:colOff>419100</xdr:colOff>
      <xdr:row>19</xdr:row>
      <xdr:rowOff>161925</xdr:rowOff>
    </xdr:to>
    <xdr:cxnSp macro="">
      <xdr:nvCxnSpPr>
        <xdr:cNvPr id="16" name="Conexão recta unidireccional 15"/>
        <xdr:cNvCxnSpPr/>
      </xdr:nvCxnSpPr>
      <xdr:spPr>
        <a:xfrm>
          <a:off x="55245000" y="4114800"/>
          <a:ext cx="2162175" cy="2286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514352</xdr:colOff>
      <xdr:row>19</xdr:row>
      <xdr:rowOff>57150</xdr:rowOff>
    </xdr:from>
    <xdr:to>
      <xdr:col>97</xdr:col>
      <xdr:colOff>552450</xdr:colOff>
      <xdr:row>19</xdr:row>
      <xdr:rowOff>161925</xdr:rowOff>
    </xdr:to>
    <xdr:cxnSp macro="">
      <xdr:nvCxnSpPr>
        <xdr:cNvPr id="17" name="Conexão recta unidireccional 16"/>
        <xdr:cNvCxnSpPr/>
      </xdr:nvCxnSpPr>
      <xdr:spPr>
        <a:xfrm flipH="1">
          <a:off x="58112027" y="4238625"/>
          <a:ext cx="647698" cy="104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173</xdr:col>
      <xdr:colOff>591610</xdr:colOff>
      <xdr:row>5</xdr:row>
      <xdr:rowOff>29632</xdr:rowOff>
    </xdr:from>
    <xdr:to>
      <xdr:col>187</xdr:col>
      <xdr:colOff>104870</xdr:colOff>
      <xdr:row>17</xdr:row>
      <xdr:rowOff>160867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5128485" y="1210732"/>
          <a:ext cx="8047660" cy="2693460"/>
        </a:xfrm>
        <a:prstGeom prst="rect">
          <a:avLst/>
        </a:prstGeom>
        <a:noFill/>
      </xdr:spPr>
    </xdr:pic>
    <xdr:clientData/>
  </xdr:twoCellAnchor>
  <xdr:twoCellAnchor editAs="oneCell">
    <xdr:from>
      <xdr:col>189</xdr:col>
      <xdr:colOff>572559</xdr:colOff>
      <xdr:row>5</xdr:row>
      <xdr:rowOff>48686</xdr:rowOff>
    </xdr:from>
    <xdr:to>
      <xdr:col>204</xdr:col>
      <xdr:colOff>5292</xdr:colOff>
      <xdr:row>17</xdr:row>
      <xdr:rowOff>195532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4863034" y="1229786"/>
          <a:ext cx="8576733" cy="2709071"/>
        </a:xfrm>
        <a:prstGeom prst="rect">
          <a:avLst/>
        </a:prstGeom>
        <a:noFill/>
      </xdr:spPr>
    </xdr:pic>
    <xdr:clientData/>
  </xdr:twoCellAnchor>
  <xdr:twoCellAnchor editAs="oneCell">
    <xdr:from>
      <xdr:col>205</xdr:col>
      <xdr:colOff>593724</xdr:colOff>
      <xdr:row>5</xdr:row>
      <xdr:rowOff>5290</xdr:rowOff>
    </xdr:from>
    <xdr:to>
      <xdr:col>218</xdr:col>
      <xdr:colOff>370080</xdr:colOff>
      <xdr:row>23</xdr:row>
      <xdr:rowOff>190500</xdr:rowOff>
    </xdr:to>
    <xdr:pic>
      <xdr:nvPicPr>
        <xdr:cNvPr id="2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637799" y="1186390"/>
          <a:ext cx="7701156" cy="3985685"/>
        </a:xfrm>
        <a:prstGeom prst="rect">
          <a:avLst/>
        </a:prstGeom>
        <a:noFill/>
      </xdr:spPr>
    </xdr:pic>
    <xdr:clientData/>
  </xdr:twoCellAnchor>
  <xdr:twoCellAnchor editAs="oneCell">
    <xdr:from>
      <xdr:col>218</xdr:col>
      <xdr:colOff>401108</xdr:colOff>
      <xdr:row>4</xdr:row>
      <xdr:rowOff>242360</xdr:rowOff>
    </xdr:from>
    <xdr:to>
      <xdr:col>229</xdr:col>
      <xdr:colOff>276225</xdr:colOff>
      <xdr:row>23</xdr:row>
      <xdr:rowOff>189346</xdr:rowOff>
    </xdr:to>
    <xdr:pic>
      <xdr:nvPicPr>
        <xdr:cNvPr id="2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2369983" y="1166285"/>
          <a:ext cx="6580717" cy="4004636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9525</xdr:colOff>
      <xdr:row>5</xdr:row>
      <xdr:rowOff>9525</xdr:rowOff>
    </xdr:from>
    <xdr:to>
      <xdr:col>27</xdr:col>
      <xdr:colOff>409574</xdr:colOff>
      <xdr:row>17</xdr:row>
      <xdr:rowOff>104776</xdr:rowOff>
    </xdr:to>
    <xdr:pic>
      <xdr:nvPicPr>
        <xdr:cNvPr id="22" name="Imagem 21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15825" y="1190625"/>
          <a:ext cx="4057649" cy="2981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19050</xdr:rowOff>
    </xdr:from>
    <xdr:to>
      <xdr:col>18</xdr:col>
      <xdr:colOff>323850</xdr:colOff>
      <xdr:row>17</xdr:row>
      <xdr:rowOff>114300</xdr:rowOff>
    </xdr:to>
    <xdr:pic>
      <xdr:nvPicPr>
        <xdr:cNvPr id="23" name="Imagem 22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96000" y="1200150"/>
          <a:ext cx="520065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0</xdr:colOff>
      <xdr:row>5</xdr:row>
      <xdr:rowOff>9525</xdr:rowOff>
    </xdr:from>
    <xdr:to>
      <xdr:col>41</xdr:col>
      <xdr:colOff>142875</xdr:colOff>
      <xdr:row>17</xdr:row>
      <xdr:rowOff>95250</xdr:rowOff>
    </xdr:to>
    <xdr:pic>
      <xdr:nvPicPr>
        <xdr:cNvPr id="24" name="Imagem 23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802475" y="1190625"/>
          <a:ext cx="441007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65</xdr:col>
      <xdr:colOff>0</xdr:colOff>
      <xdr:row>5</xdr:row>
      <xdr:rowOff>9525</xdr:rowOff>
    </xdr:from>
    <xdr:to>
      <xdr:col>72</xdr:col>
      <xdr:colOff>485775</xdr:colOff>
      <xdr:row>17</xdr:row>
      <xdr:rowOff>95250</xdr:rowOff>
    </xdr:to>
    <xdr:pic>
      <xdr:nvPicPr>
        <xdr:cNvPr id="25" name="Imagem 24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700075" y="1190625"/>
          <a:ext cx="475297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76</xdr:col>
      <xdr:colOff>9525</xdr:colOff>
      <xdr:row>5</xdr:row>
      <xdr:rowOff>19050</xdr:rowOff>
    </xdr:from>
    <xdr:to>
      <xdr:col>84</xdr:col>
      <xdr:colOff>276225</xdr:colOff>
      <xdr:row>17</xdr:row>
      <xdr:rowOff>142875</xdr:rowOff>
    </xdr:to>
    <xdr:pic>
      <xdr:nvPicPr>
        <xdr:cNvPr id="26" name="Imagem 25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415200" y="1200150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150</xdr:col>
      <xdr:colOff>0</xdr:colOff>
      <xdr:row>5</xdr:row>
      <xdr:rowOff>9525</xdr:rowOff>
    </xdr:from>
    <xdr:to>
      <xdr:col>158</xdr:col>
      <xdr:colOff>266700</xdr:colOff>
      <xdr:row>17</xdr:row>
      <xdr:rowOff>133350</xdr:rowOff>
    </xdr:to>
    <xdr:pic>
      <xdr:nvPicPr>
        <xdr:cNvPr id="27" name="Imagem 26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0516075" y="1190625"/>
          <a:ext cx="51435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L60"/>
  <sheetViews>
    <sheetView tabSelected="1" zoomScaleNormal="100" workbookViewId="0">
      <selection activeCell="I4" sqref="I4"/>
    </sheetView>
  </sheetViews>
  <sheetFormatPr defaultRowHeight="15"/>
  <cols>
    <col min="11" max="11" width="9.140625" customWidth="1"/>
    <col min="18" max="18" width="9.140625" customWidth="1"/>
    <col min="20" max="20" width="1.7109375" customWidth="1"/>
    <col min="26" max="28" width="9.140625" customWidth="1"/>
    <col min="33" max="33" width="2.7109375" customWidth="1"/>
    <col min="45" max="49" width="9.140625" customWidth="1"/>
    <col min="54" max="56" width="9.140625" customWidth="1"/>
    <col min="60" max="60" width="9.140625" customWidth="1"/>
    <col min="111" max="111" width="9.140625" customWidth="1"/>
  </cols>
  <sheetData>
    <row r="2" spans="1:207" ht="23.25">
      <c r="O2" s="2"/>
      <c r="P2" s="2"/>
      <c r="Z2" s="2"/>
      <c r="AA2" s="2"/>
      <c r="AB2" s="2"/>
      <c r="BA2" s="137" t="s">
        <v>332</v>
      </c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</row>
    <row r="4" spans="1:207" ht="19.5">
      <c r="A4" s="436" t="s">
        <v>0</v>
      </c>
      <c r="B4" s="436"/>
      <c r="C4" s="436"/>
      <c r="D4" s="1"/>
      <c r="E4" s="1"/>
      <c r="O4" s="1"/>
    </row>
    <row r="5" spans="1:207" ht="20.25" thickBot="1">
      <c r="K5" s="436" t="s">
        <v>5</v>
      </c>
      <c r="L5" s="436"/>
      <c r="V5" s="436" t="s">
        <v>6</v>
      </c>
      <c r="W5" s="436"/>
      <c r="AI5" s="436" t="s">
        <v>25</v>
      </c>
      <c r="AJ5" s="436"/>
      <c r="AZ5" s="436" t="s">
        <v>36</v>
      </c>
      <c r="BA5" s="436"/>
      <c r="BN5" s="436" t="s">
        <v>162</v>
      </c>
      <c r="BO5" s="436"/>
      <c r="BY5" s="436" t="s">
        <v>5</v>
      </c>
      <c r="BZ5" s="436"/>
      <c r="CI5" s="437" t="s">
        <v>163</v>
      </c>
      <c r="CJ5" s="437"/>
      <c r="CK5" s="437"/>
      <c r="CL5" s="437"/>
      <c r="DA5" s="436" t="s">
        <v>155</v>
      </c>
      <c r="DB5" s="436"/>
      <c r="DC5" s="436"/>
      <c r="DD5" s="436"/>
      <c r="DE5" s="436"/>
      <c r="DF5" s="436"/>
      <c r="DI5" s="436" t="s">
        <v>148</v>
      </c>
      <c r="DJ5" s="436"/>
      <c r="DK5" s="436"/>
      <c r="DL5" s="436"/>
      <c r="DM5" s="436"/>
      <c r="DN5" s="436"/>
      <c r="DO5" s="436"/>
      <c r="DP5" s="436"/>
      <c r="DQ5" s="436"/>
      <c r="DR5" s="436"/>
      <c r="DS5" s="436"/>
      <c r="DT5" s="436"/>
      <c r="DU5" s="436"/>
      <c r="DV5" s="436"/>
      <c r="DW5" s="436"/>
      <c r="DX5" s="436"/>
      <c r="DY5" s="436"/>
      <c r="EU5" s="436" t="s">
        <v>5</v>
      </c>
      <c r="EV5" s="436"/>
      <c r="FF5" s="436" t="s">
        <v>164</v>
      </c>
      <c r="FG5" s="436"/>
      <c r="FS5" s="436" t="s">
        <v>228</v>
      </c>
      <c r="FT5" s="436"/>
      <c r="GH5" s="436" t="s">
        <v>229</v>
      </c>
      <c r="GI5" s="436"/>
      <c r="GX5" s="436" t="s">
        <v>230</v>
      </c>
      <c r="GY5" s="436"/>
    </row>
    <row r="6" spans="1:207" ht="16.5" thickBot="1">
      <c r="A6" s="438" t="s">
        <v>329</v>
      </c>
      <c r="B6" s="439"/>
      <c r="C6" s="439"/>
      <c r="D6" s="439"/>
      <c r="E6" s="439"/>
      <c r="F6" s="129" t="s">
        <v>330</v>
      </c>
      <c r="G6" s="130"/>
      <c r="H6" s="131"/>
      <c r="DI6" s="403" t="s">
        <v>127</v>
      </c>
      <c r="DJ6" s="404"/>
      <c r="DK6" s="404"/>
      <c r="DL6" s="404" t="s">
        <v>139</v>
      </c>
      <c r="DM6" s="404"/>
      <c r="DN6" s="404"/>
      <c r="DO6" s="395" t="s">
        <v>140</v>
      </c>
      <c r="DP6" s="395"/>
      <c r="DQ6" s="395" t="s">
        <v>124</v>
      </c>
      <c r="DR6" s="395"/>
      <c r="DS6" s="395" t="s">
        <v>125</v>
      </c>
      <c r="DT6" s="395"/>
      <c r="DU6" s="395" t="s">
        <v>126</v>
      </c>
      <c r="DV6" s="395"/>
      <c r="DW6" s="395" t="s">
        <v>151</v>
      </c>
      <c r="DX6" s="395"/>
      <c r="DY6" s="395" t="s">
        <v>152</v>
      </c>
      <c r="DZ6" s="395"/>
      <c r="EA6" s="395" t="s">
        <v>92</v>
      </c>
      <c r="EB6" s="395"/>
      <c r="EC6" s="395" t="s">
        <v>93</v>
      </c>
      <c r="ED6" s="396"/>
      <c r="EE6" s="409" t="s">
        <v>97</v>
      </c>
      <c r="EF6" s="411"/>
      <c r="EG6" s="412" t="s">
        <v>72</v>
      </c>
      <c r="EH6" s="395" t="s">
        <v>131</v>
      </c>
      <c r="EI6" s="396"/>
      <c r="EJ6" s="414" t="s">
        <v>142</v>
      </c>
      <c r="EK6" s="408"/>
      <c r="EL6" s="409" t="s">
        <v>141</v>
      </c>
      <c r="EM6" s="411"/>
      <c r="EN6" s="407" t="s">
        <v>145</v>
      </c>
      <c r="EO6" s="408"/>
      <c r="EP6" s="409" t="s">
        <v>130</v>
      </c>
      <c r="EQ6" s="410"/>
    </row>
    <row r="7" spans="1:207" ht="16.5" thickBot="1">
      <c r="A7" s="132" t="s">
        <v>4</v>
      </c>
      <c r="B7" s="133"/>
      <c r="C7" s="133"/>
      <c r="D7" s="133"/>
      <c r="E7" s="133"/>
      <c r="F7" s="134" t="s">
        <v>331</v>
      </c>
      <c r="G7" s="135"/>
      <c r="H7" s="136"/>
      <c r="DA7" s="415" t="s">
        <v>137</v>
      </c>
      <c r="DB7" s="416"/>
      <c r="DC7" s="416"/>
      <c r="DD7" s="416"/>
      <c r="DE7" s="417"/>
      <c r="DI7" s="405"/>
      <c r="DJ7" s="406"/>
      <c r="DK7" s="406"/>
      <c r="DL7" s="406"/>
      <c r="DM7" s="406"/>
      <c r="DN7" s="406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8"/>
      <c r="EE7" s="153"/>
      <c r="EF7" s="344"/>
      <c r="EG7" s="413"/>
      <c r="EH7" s="397"/>
      <c r="EI7" s="398"/>
      <c r="EJ7" s="153"/>
      <c r="EK7" s="154"/>
      <c r="EL7" s="153"/>
      <c r="EM7" s="344"/>
      <c r="EN7" s="154"/>
      <c r="EO7" s="154"/>
      <c r="EP7" s="153"/>
      <c r="EQ7" s="155"/>
    </row>
    <row r="8" spans="1:207" ht="19.5" thickTop="1" thickBot="1">
      <c r="A8" s="441" t="s">
        <v>21</v>
      </c>
      <c r="B8" s="442"/>
      <c r="C8" s="442"/>
      <c r="D8" s="442"/>
      <c r="E8" s="442"/>
      <c r="F8" s="442"/>
      <c r="G8" s="442"/>
      <c r="H8" s="443"/>
      <c r="DA8" s="39" t="s">
        <v>134</v>
      </c>
      <c r="DB8" s="401" t="s">
        <v>135</v>
      </c>
      <c r="DC8" s="401"/>
      <c r="DD8" s="401" t="s">
        <v>136</v>
      </c>
      <c r="DE8" s="402"/>
      <c r="DI8" s="393"/>
      <c r="DJ8" s="394"/>
      <c r="DK8" s="381"/>
      <c r="DL8" s="380"/>
      <c r="DM8" s="394"/>
      <c r="DN8" s="381"/>
      <c r="DO8" s="380"/>
      <c r="DP8" s="381"/>
      <c r="DQ8" s="380"/>
      <c r="DR8" s="381"/>
      <c r="DS8" s="380"/>
      <c r="DT8" s="381"/>
      <c r="DU8" s="380"/>
      <c r="DV8" s="381"/>
      <c r="DW8" s="380"/>
      <c r="DX8" s="381"/>
      <c r="DY8" s="380"/>
      <c r="DZ8" s="381"/>
      <c r="EA8" s="382"/>
      <c r="EB8" s="383"/>
      <c r="EC8" s="382"/>
      <c r="ED8" s="384"/>
      <c r="EE8" s="310"/>
      <c r="EF8" s="311"/>
      <c r="EG8" s="38"/>
      <c r="EH8" s="330">
        <f>IF(EA8=EC8,EA8*EE8*EG8,(((EA8+EC8)/2)*EE8)*EG8)</f>
        <v>0</v>
      </c>
      <c r="EI8" s="378"/>
      <c r="EJ8" s="226">
        <f>MAX(DI8+DL8,DO8)+DQ8+DS8+DU8</f>
        <v>0</v>
      </c>
      <c r="EK8" s="142"/>
      <c r="EL8" s="231"/>
      <c r="EM8" s="232"/>
      <c r="EN8" s="226">
        <f>EJ8*EL8</f>
        <v>0</v>
      </c>
      <c r="EO8" s="142"/>
      <c r="EP8" s="379" t="str">
        <f>IF(EH8&gt;EN8,"Verifica","Não verifica")</f>
        <v>Não verifica</v>
      </c>
      <c r="EQ8" s="146"/>
    </row>
    <row r="9" spans="1:207" ht="15.75" thickBot="1">
      <c r="A9" s="430" t="s">
        <v>22</v>
      </c>
      <c r="B9" s="431"/>
      <c r="C9" s="431"/>
      <c r="D9" s="431"/>
      <c r="E9" s="431"/>
      <c r="F9" s="431"/>
      <c r="G9" s="431"/>
      <c r="H9" s="432"/>
      <c r="DA9" s="40"/>
      <c r="DB9" s="385"/>
      <c r="DC9" s="385"/>
      <c r="DD9" s="386">
        <f>IF(DB9=DB10,(ABS(DA10-DA9)*DB9),IF(DB9&gt;DB10,(ABS(DA10-DA9)*DB10),IF(DB9&lt;DB10,(ABS(DA10-DA9)*DB9))))</f>
        <v>0</v>
      </c>
      <c r="DE9" s="387"/>
    </row>
    <row r="10" spans="1:207" ht="15.75" thickBot="1">
      <c r="A10" s="433"/>
      <c r="B10" s="434"/>
      <c r="C10" s="434"/>
      <c r="D10" s="434"/>
      <c r="E10" s="434"/>
      <c r="F10" s="434"/>
      <c r="G10" s="434"/>
      <c r="H10" s="435"/>
      <c r="DA10" s="37"/>
      <c r="DB10" s="392"/>
      <c r="DC10" s="392"/>
      <c r="DD10" s="388"/>
      <c r="DE10" s="389"/>
      <c r="DI10" s="403" t="s">
        <v>127</v>
      </c>
      <c r="DJ10" s="404"/>
      <c r="DK10" s="404"/>
      <c r="DL10" s="404" t="s">
        <v>128</v>
      </c>
      <c r="DM10" s="404"/>
      <c r="DN10" s="404"/>
      <c r="DO10" s="395" t="s">
        <v>129</v>
      </c>
      <c r="DP10" s="395"/>
      <c r="DQ10" s="395" t="s">
        <v>124</v>
      </c>
      <c r="DR10" s="395"/>
      <c r="DS10" s="395" t="s">
        <v>125</v>
      </c>
      <c r="DT10" s="395"/>
      <c r="DU10" s="395" t="s">
        <v>126</v>
      </c>
      <c r="DV10" s="395"/>
      <c r="DW10" s="395" t="s">
        <v>151</v>
      </c>
      <c r="DX10" s="395"/>
      <c r="DY10" s="395" t="s">
        <v>152</v>
      </c>
      <c r="DZ10" s="395"/>
      <c r="EA10" s="395" t="s">
        <v>101</v>
      </c>
      <c r="EB10" s="395"/>
      <c r="EC10" s="395" t="s">
        <v>102</v>
      </c>
      <c r="ED10" s="396"/>
      <c r="EE10" s="409" t="s">
        <v>99</v>
      </c>
      <c r="EF10" s="411"/>
      <c r="EG10" s="412" t="s">
        <v>72</v>
      </c>
      <c r="EH10" s="395" t="s">
        <v>133</v>
      </c>
      <c r="EI10" s="396"/>
      <c r="EJ10" s="414" t="s">
        <v>143</v>
      </c>
      <c r="EK10" s="408"/>
      <c r="EL10" s="409" t="s">
        <v>141</v>
      </c>
      <c r="EM10" s="411"/>
      <c r="EN10" s="407" t="s">
        <v>146</v>
      </c>
      <c r="EO10" s="408"/>
      <c r="EP10" s="409" t="s">
        <v>130</v>
      </c>
      <c r="EQ10" s="410"/>
    </row>
    <row r="11" spans="1:207" ht="15.75" thickBot="1">
      <c r="A11" s="430" t="s">
        <v>23</v>
      </c>
      <c r="B11" s="431"/>
      <c r="C11" s="431"/>
      <c r="D11" s="431"/>
      <c r="E11" s="431"/>
      <c r="F11" s="431"/>
      <c r="G11" s="431"/>
      <c r="H11" s="432"/>
      <c r="DI11" s="405"/>
      <c r="DJ11" s="406"/>
      <c r="DK11" s="406"/>
      <c r="DL11" s="406"/>
      <c r="DM11" s="406"/>
      <c r="DN11" s="406"/>
      <c r="DO11" s="397"/>
      <c r="DP11" s="397"/>
      <c r="DQ11" s="397"/>
      <c r="DR11" s="397"/>
      <c r="DS11" s="397"/>
      <c r="DT11" s="397"/>
      <c r="DU11" s="397"/>
      <c r="DV11" s="397"/>
      <c r="DW11" s="397"/>
      <c r="DX11" s="397"/>
      <c r="DY11" s="397"/>
      <c r="DZ11" s="397"/>
      <c r="EA11" s="397"/>
      <c r="EB11" s="397"/>
      <c r="EC11" s="397"/>
      <c r="ED11" s="398"/>
      <c r="EE11" s="153"/>
      <c r="EF11" s="344"/>
      <c r="EG11" s="413"/>
      <c r="EH11" s="397"/>
      <c r="EI11" s="398"/>
      <c r="EJ11" s="153"/>
      <c r="EK11" s="154"/>
      <c r="EL11" s="153"/>
      <c r="EM11" s="344"/>
      <c r="EN11" s="154"/>
      <c r="EO11" s="154"/>
      <c r="EP11" s="153"/>
      <c r="EQ11" s="155"/>
    </row>
    <row r="12" spans="1:207" ht="19.5" thickBot="1">
      <c r="A12" s="433"/>
      <c r="B12" s="434"/>
      <c r="C12" s="434"/>
      <c r="D12" s="434"/>
      <c r="E12" s="434"/>
      <c r="F12" s="434"/>
      <c r="G12" s="434"/>
      <c r="H12" s="435"/>
      <c r="AV12" s="459" t="s">
        <v>261</v>
      </c>
      <c r="AW12" s="459"/>
      <c r="AX12" s="459"/>
      <c r="AY12" s="459"/>
      <c r="AZ12" s="459"/>
      <c r="BC12" s="460" t="s">
        <v>54</v>
      </c>
      <c r="BD12" s="460"/>
      <c r="BE12" s="460"/>
      <c r="BF12" s="460"/>
      <c r="DA12" s="415" t="s">
        <v>153</v>
      </c>
      <c r="DB12" s="416"/>
      <c r="DC12" s="416"/>
      <c r="DD12" s="416"/>
      <c r="DE12" s="417"/>
      <c r="DI12" s="393"/>
      <c r="DJ12" s="394"/>
      <c r="DK12" s="381"/>
      <c r="DL12" s="380"/>
      <c r="DM12" s="394"/>
      <c r="DN12" s="381"/>
      <c r="DO12" s="380"/>
      <c r="DP12" s="381"/>
      <c r="DQ12" s="380"/>
      <c r="DR12" s="381"/>
      <c r="DS12" s="380"/>
      <c r="DT12" s="381"/>
      <c r="DU12" s="380"/>
      <c r="DV12" s="381"/>
      <c r="DW12" s="380"/>
      <c r="DX12" s="381"/>
      <c r="DY12" s="380"/>
      <c r="DZ12" s="381"/>
      <c r="EA12" s="382"/>
      <c r="EB12" s="383"/>
      <c r="EC12" s="382"/>
      <c r="ED12" s="384"/>
      <c r="EE12" s="310"/>
      <c r="EF12" s="311"/>
      <c r="EG12" s="38"/>
      <c r="EH12" s="330">
        <f>IF(EA12=EC12,EA12*EE12*EG12,(((EA12+EC12)/2)*EE12)*EG12)</f>
        <v>0</v>
      </c>
      <c r="EI12" s="378"/>
      <c r="EJ12" s="226">
        <f>MAX(DI12+DL12,DO12)+DQ12+DS12+DU12</f>
        <v>0</v>
      </c>
      <c r="EK12" s="142"/>
      <c r="EL12" s="231"/>
      <c r="EM12" s="232"/>
      <c r="EN12" s="226">
        <f>EJ12*EL12</f>
        <v>0</v>
      </c>
      <c r="EO12" s="142"/>
      <c r="EP12" s="379" t="str">
        <f>IF(EH12&gt;EN12,"Verifica","Não verifica")</f>
        <v>Não verifica</v>
      </c>
      <c r="EQ12" s="146"/>
    </row>
    <row r="13" spans="1:207" ht="19.5" thickTop="1" thickBot="1">
      <c r="A13" s="433"/>
      <c r="B13" s="434"/>
      <c r="C13" s="434"/>
      <c r="D13" s="434"/>
      <c r="E13" s="434"/>
      <c r="F13" s="434"/>
      <c r="G13" s="434"/>
      <c r="H13" s="435"/>
      <c r="DA13" s="41" t="s">
        <v>134</v>
      </c>
      <c r="DB13" s="420" t="s">
        <v>135</v>
      </c>
      <c r="DC13" s="420"/>
      <c r="DD13" s="420" t="s">
        <v>136</v>
      </c>
      <c r="DE13" s="421"/>
    </row>
    <row r="14" spans="1:207">
      <c r="A14" s="430" t="s">
        <v>328</v>
      </c>
      <c r="B14" s="431"/>
      <c r="C14" s="431"/>
      <c r="D14" s="431"/>
      <c r="E14" s="431"/>
      <c r="F14" s="431"/>
      <c r="G14" s="431"/>
      <c r="H14" s="432"/>
      <c r="AV14" s="447" t="s">
        <v>265</v>
      </c>
      <c r="AW14" s="450" t="s">
        <v>266</v>
      </c>
      <c r="AX14" s="453" t="s">
        <v>262</v>
      </c>
      <c r="AY14" s="450" t="s">
        <v>263</v>
      </c>
      <c r="AZ14" s="456" t="s">
        <v>45</v>
      </c>
      <c r="BC14" s="424" t="s">
        <v>46</v>
      </c>
      <c r="BD14" s="426" t="s">
        <v>55</v>
      </c>
      <c r="BE14" s="427"/>
      <c r="DA14" s="40"/>
      <c r="DB14" s="385"/>
      <c r="DC14" s="385"/>
      <c r="DD14" s="386">
        <f>((ABS(DB14-DB15))*(ABS(DA15-DA14)))/2</f>
        <v>0</v>
      </c>
      <c r="DE14" s="387"/>
      <c r="DI14" s="403" t="s">
        <v>127</v>
      </c>
      <c r="DJ14" s="404"/>
      <c r="DK14" s="404"/>
      <c r="DL14" s="404" t="s">
        <v>128</v>
      </c>
      <c r="DM14" s="404"/>
      <c r="DN14" s="404"/>
      <c r="DO14" s="395" t="s">
        <v>129</v>
      </c>
      <c r="DP14" s="395"/>
      <c r="DQ14" s="395" t="s">
        <v>124</v>
      </c>
      <c r="DR14" s="395"/>
      <c r="DS14" s="395" t="s">
        <v>125</v>
      </c>
      <c r="DT14" s="395"/>
      <c r="DU14" s="395" t="s">
        <v>126</v>
      </c>
      <c r="DV14" s="395"/>
      <c r="DW14" s="395" t="s">
        <v>151</v>
      </c>
      <c r="DX14" s="395"/>
      <c r="DY14" s="395" t="s">
        <v>152</v>
      </c>
      <c r="DZ14" s="395"/>
      <c r="EA14" s="395" t="s">
        <v>106</v>
      </c>
      <c r="EB14" s="395"/>
      <c r="EC14" s="395" t="s">
        <v>107</v>
      </c>
      <c r="ED14" s="396"/>
      <c r="EE14" s="409" t="s">
        <v>104</v>
      </c>
      <c r="EF14" s="411"/>
      <c r="EG14" s="412" t="s">
        <v>72</v>
      </c>
      <c r="EH14" s="395" t="s">
        <v>132</v>
      </c>
      <c r="EI14" s="396"/>
      <c r="EJ14" s="414" t="s">
        <v>144</v>
      </c>
      <c r="EK14" s="408"/>
      <c r="EL14" s="409" t="s">
        <v>141</v>
      </c>
      <c r="EM14" s="411"/>
      <c r="EN14" s="407" t="s">
        <v>147</v>
      </c>
      <c r="EO14" s="408"/>
      <c r="EP14" s="409" t="s">
        <v>130</v>
      </c>
      <c r="EQ14" s="410"/>
    </row>
    <row r="15" spans="1:207" ht="15.75" thickBot="1">
      <c r="A15" s="433"/>
      <c r="B15" s="434"/>
      <c r="C15" s="434"/>
      <c r="D15" s="434"/>
      <c r="E15" s="434"/>
      <c r="F15" s="434"/>
      <c r="G15" s="434"/>
      <c r="H15" s="435"/>
      <c r="AV15" s="448"/>
      <c r="AW15" s="451"/>
      <c r="AX15" s="454"/>
      <c r="AY15" s="451"/>
      <c r="AZ15" s="457"/>
      <c r="BC15" s="425"/>
      <c r="BD15" s="428"/>
      <c r="BE15" s="429"/>
      <c r="DA15" s="5"/>
      <c r="DB15" s="422"/>
      <c r="DC15" s="423"/>
      <c r="DD15" s="388"/>
      <c r="DE15" s="389"/>
      <c r="DI15" s="405"/>
      <c r="DJ15" s="406"/>
      <c r="DK15" s="406"/>
      <c r="DL15" s="406"/>
      <c r="DM15" s="406"/>
      <c r="DN15" s="406"/>
      <c r="DO15" s="397"/>
      <c r="DP15" s="397"/>
      <c r="DQ15" s="397"/>
      <c r="DR15" s="397"/>
      <c r="DS15" s="397"/>
      <c r="DT15" s="397"/>
      <c r="DU15" s="397"/>
      <c r="DV15" s="397"/>
      <c r="DW15" s="397"/>
      <c r="DX15" s="397"/>
      <c r="DY15" s="397"/>
      <c r="DZ15" s="397"/>
      <c r="EA15" s="397"/>
      <c r="EB15" s="397"/>
      <c r="EC15" s="397"/>
      <c r="ED15" s="398"/>
      <c r="EE15" s="153"/>
      <c r="EF15" s="344"/>
      <c r="EG15" s="413"/>
      <c r="EH15" s="397"/>
      <c r="EI15" s="398"/>
      <c r="EJ15" s="153"/>
      <c r="EK15" s="154"/>
      <c r="EL15" s="153"/>
      <c r="EM15" s="344"/>
      <c r="EN15" s="154"/>
      <c r="EO15" s="154"/>
      <c r="EP15" s="153"/>
      <c r="EQ15" s="155"/>
    </row>
    <row r="16" spans="1:207" ht="15.75" thickBot="1">
      <c r="A16" s="433"/>
      <c r="B16" s="434"/>
      <c r="C16" s="434"/>
      <c r="D16" s="434"/>
      <c r="E16" s="434"/>
      <c r="F16" s="434"/>
      <c r="G16" s="434"/>
      <c r="H16" s="435"/>
      <c r="AV16" s="449"/>
      <c r="AW16" s="452"/>
      <c r="AX16" s="455"/>
      <c r="AY16" s="452"/>
      <c r="AZ16" s="458"/>
      <c r="BC16" s="36">
        <v>1</v>
      </c>
      <c r="BD16" s="418">
        <v>0.44600000000000001</v>
      </c>
      <c r="BE16" s="419"/>
      <c r="DI16" s="393"/>
      <c r="DJ16" s="394"/>
      <c r="DK16" s="381"/>
      <c r="DL16" s="380"/>
      <c r="DM16" s="394"/>
      <c r="DN16" s="381"/>
      <c r="DO16" s="380"/>
      <c r="DP16" s="381"/>
      <c r="DQ16" s="380"/>
      <c r="DR16" s="381"/>
      <c r="DS16" s="380"/>
      <c r="DT16" s="381"/>
      <c r="DU16" s="380"/>
      <c r="DV16" s="381"/>
      <c r="DW16" s="380"/>
      <c r="DX16" s="381"/>
      <c r="DY16" s="380"/>
      <c r="DZ16" s="381"/>
      <c r="EA16" s="382"/>
      <c r="EB16" s="383"/>
      <c r="EC16" s="382"/>
      <c r="ED16" s="384"/>
      <c r="EE16" s="310"/>
      <c r="EF16" s="311"/>
      <c r="EG16" s="38"/>
      <c r="EH16" s="330">
        <f>IF(EA16=EC16,EA16*EE16*EG16,(((EA16+EC16)/2)*EE16)*EG16)</f>
        <v>0</v>
      </c>
      <c r="EI16" s="378"/>
      <c r="EJ16" s="226">
        <f>MAX(DI16+DL16,DO16)+DQ16+DS16+DU16</f>
        <v>0</v>
      </c>
      <c r="EK16" s="142"/>
      <c r="EL16" s="231"/>
      <c r="EM16" s="232"/>
      <c r="EN16" s="226">
        <f>EJ16*EL16</f>
        <v>0</v>
      </c>
      <c r="EO16" s="142"/>
      <c r="EP16" s="379" t="str">
        <f>IF(EH16&gt;EN16,"Verifica","Não verifica")</f>
        <v>Não verifica</v>
      </c>
      <c r="EQ16" s="146"/>
    </row>
    <row r="17" spans="1:177" ht="16.5" thickBot="1">
      <c r="A17" s="433"/>
      <c r="B17" s="434"/>
      <c r="C17" s="434"/>
      <c r="D17" s="434"/>
      <c r="E17" s="434"/>
      <c r="F17" s="434"/>
      <c r="G17" s="434"/>
      <c r="H17" s="435"/>
      <c r="AV17" s="90">
        <v>82.5</v>
      </c>
      <c r="AW17" s="89">
        <v>27</v>
      </c>
      <c r="AX17" s="91">
        <f>(AV17/AW17)^(1/3)</f>
        <v>1.4510979485289353</v>
      </c>
      <c r="AY17" s="89">
        <v>1</v>
      </c>
      <c r="AZ17" s="92">
        <f>AX17*AY17</f>
        <v>1.4510979485289353</v>
      </c>
      <c r="BC17" s="4">
        <f>BA26</f>
        <v>1.2758620689655173</v>
      </c>
      <c r="BD17" s="461">
        <f>BD16+(((BC17-BC16)*(BD18-BD16))/(BC18-BC16))</f>
        <v>0.42282758620689653</v>
      </c>
      <c r="BE17" s="462"/>
      <c r="DA17" s="415" t="s">
        <v>154</v>
      </c>
      <c r="DB17" s="416"/>
      <c r="DC17" s="416"/>
      <c r="DD17" s="416"/>
      <c r="DE17" s="417"/>
    </row>
    <row r="18" spans="1:177" ht="18.75" thickBot="1">
      <c r="A18" s="444"/>
      <c r="B18" s="445"/>
      <c r="C18" s="445"/>
      <c r="D18" s="445"/>
      <c r="E18" s="445"/>
      <c r="F18" s="445"/>
      <c r="G18" s="445"/>
      <c r="H18" s="446"/>
      <c r="AV18" s="93" t="s">
        <v>264</v>
      </c>
      <c r="AX18" s="94"/>
      <c r="AY18" s="94"/>
      <c r="AZ18" s="94"/>
      <c r="BC18" s="5">
        <v>2</v>
      </c>
      <c r="BD18" s="399">
        <v>0.36199999999999999</v>
      </c>
      <c r="BE18" s="400"/>
      <c r="DA18" s="39" t="s">
        <v>134</v>
      </c>
      <c r="DB18" s="401" t="s">
        <v>135</v>
      </c>
      <c r="DC18" s="401"/>
      <c r="DD18" s="401" t="s">
        <v>136</v>
      </c>
      <c r="DE18" s="402"/>
      <c r="DI18" s="403" t="s">
        <v>127</v>
      </c>
      <c r="DJ18" s="404"/>
      <c r="DK18" s="404"/>
      <c r="DL18" s="404" t="s">
        <v>128</v>
      </c>
      <c r="DM18" s="404"/>
      <c r="DN18" s="404"/>
      <c r="DO18" s="395" t="s">
        <v>129</v>
      </c>
      <c r="DP18" s="395"/>
      <c r="DQ18" s="395" t="s">
        <v>124</v>
      </c>
      <c r="DR18" s="395"/>
      <c r="DS18" s="395" t="s">
        <v>125</v>
      </c>
      <c r="DT18" s="395"/>
      <c r="DU18" s="395" t="s">
        <v>126</v>
      </c>
      <c r="DV18" s="395"/>
      <c r="DW18" s="395" t="s">
        <v>151</v>
      </c>
      <c r="DX18" s="395"/>
      <c r="DY18" s="395" t="s">
        <v>152</v>
      </c>
      <c r="DZ18" s="395"/>
      <c r="EA18" s="395" t="s">
        <v>149</v>
      </c>
      <c r="EB18" s="395"/>
      <c r="EC18" s="395" t="s">
        <v>150</v>
      </c>
      <c r="ED18" s="396"/>
      <c r="EE18" s="409" t="s">
        <v>159</v>
      </c>
      <c r="EF18" s="411"/>
      <c r="EG18" s="412" t="s">
        <v>72</v>
      </c>
      <c r="EH18" s="395" t="s">
        <v>156</v>
      </c>
      <c r="EI18" s="396"/>
      <c r="EJ18" s="414" t="s">
        <v>157</v>
      </c>
      <c r="EK18" s="408"/>
      <c r="EL18" s="409" t="s">
        <v>141</v>
      </c>
      <c r="EM18" s="411"/>
      <c r="EN18" s="407" t="s">
        <v>158</v>
      </c>
      <c r="EO18" s="408"/>
      <c r="EP18" s="409" t="s">
        <v>130</v>
      </c>
      <c r="EQ18" s="410"/>
    </row>
    <row r="19" spans="1:177" ht="15.75" thickBot="1">
      <c r="AE19" s="3"/>
      <c r="AF19" s="3"/>
      <c r="AG19" s="3"/>
      <c r="DA19" s="40"/>
      <c r="DB19" s="385"/>
      <c r="DC19" s="385"/>
      <c r="DD19" s="386">
        <f>((DB20+DB19)/2)*(ABS(DA19-DA20))</f>
        <v>0</v>
      </c>
      <c r="DE19" s="387"/>
      <c r="DG19" s="42"/>
      <c r="DI19" s="405"/>
      <c r="DJ19" s="406"/>
      <c r="DK19" s="406"/>
      <c r="DL19" s="406"/>
      <c r="DM19" s="406"/>
      <c r="DN19" s="406"/>
      <c r="DO19" s="397"/>
      <c r="DP19" s="397"/>
      <c r="DQ19" s="397"/>
      <c r="DR19" s="397"/>
      <c r="DS19" s="397"/>
      <c r="DT19" s="397"/>
      <c r="DU19" s="397"/>
      <c r="DV19" s="397"/>
      <c r="DW19" s="397"/>
      <c r="DX19" s="397"/>
      <c r="DY19" s="397"/>
      <c r="DZ19" s="397"/>
      <c r="EA19" s="397"/>
      <c r="EB19" s="397"/>
      <c r="EC19" s="397"/>
      <c r="ED19" s="398"/>
      <c r="EE19" s="153"/>
      <c r="EF19" s="344"/>
      <c r="EG19" s="413"/>
      <c r="EH19" s="397"/>
      <c r="EI19" s="398"/>
      <c r="EJ19" s="153"/>
      <c r="EK19" s="154"/>
      <c r="EL19" s="153"/>
      <c r="EM19" s="344"/>
      <c r="EN19" s="154"/>
      <c r="EO19" s="154"/>
      <c r="EP19" s="153"/>
      <c r="EQ19" s="155"/>
    </row>
    <row r="20" spans="1:177" ht="15.75" thickBot="1">
      <c r="AE20" s="390" t="s">
        <v>24</v>
      </c>
      <c r="AF20" s="390"/>
      <c r="AG20" s="390"/>
      <c r="DA20" s="37"/>
      <c r="DB20" s="392"/>
      <c r="DC20" s="392"/>
      <c r="DD20" s="388"/>
      <c r="DE20" s="389"/>
      <c r="DI20" s="393"/>
      <c r="DJ20" s="394"/>
      <c r="DK20" s="381"/>
      <c r="DL20" s="380"/>
      <c r="DM20" s="394"/>
      <c r="DN20" s="381"/>
      <c r="DO20" s="380"/>
      <c r="DP20" s="381"/>
      <c r="DQ20" s="380"/>
      <c r="DR20" s="381"/>
      <c r="DS20" s="380"/>
      <c r="DT20" s="381"/>
      <c r="DU20" s="380"/>
      <c r="DV20" s="381"/>
      <c r="DW20" s="380"/>
      <c r="DX20" s="381"/>
      <c r="DY20" s="380"/>
      <c r="DZ20" s="381"/>
      <c r="EA20" s="382"/>
      <c r="EB20" s="383"/>
      <c r="EC20" s="382"/>
      <c r="ED20" s="384"/>
      <c r="EE20" s="310"/>
      <c r="EF20" s="311"/>
      <c r="EG20" s="38"/>
      <c r="EH20" s="330">
        <f>IF(EA20=EC20,EA20*EE20*EG20,(((EA20+EC20)/2)*EE20)*EG20)</f>
        <v>0</v>
      </c>
      <c r="EI20" s="378"/>
      <c r="EJ20" s="226">
        <f>MAX(DI20+DL20,DO20)+DQ20+DS20+DU20</f>
        <v>0</v>
      </c>
      <c r="EK20" s="142"/>
      <c r="EL20" s="231"/>
      <c r="EM20" s="232"/>
      <c r="EN20" s="226">
        <f>EJ20*EL20</f>
        <v>0</v>
      </c>
      <c r="EO20" s="142"/>
      <c r="EP20" s="379" t="str">
        <f>IF(EH20&gt;EN20,"Verifica","Não verifica")</f>
        <v>Não verifica</v>
      </c>
      <c r="EQ20" s="146"/>
    </row>
    <row r="21" spans="1:177">
      <c r="AE21" s="390"/>
      <c r="AF21" s="390"/>
      <c r="AG21" s="390"/>
    </row>
    <row r="22" spans="1:177" ht="15.75" thickBot="1">
      <c r="AE22" s="391"/>
      <c r="AF22" s="391"/>
      <c r="AG22" s="391"/>
    </row>
    <row r="23" spans="1:177" ht="16.5" thickBot="1">
      <c r="A23" s="138" t="s">
        <v>27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40"/>
      <c r="AH23" s="138" t="s">
        <v>26</v>
      </c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40"/>
      <c r="AZ23" s="138" t="s">
        <v>37</v>
      </c>
      <c r="BA23" s="139"/>
      <c r="BB23" s="139"/>
      <c r="BC23" s="139"/>
      <c r="BD23" s="139"/>
      <c r="BE23" s="139"/>
      <c r="BF23" s="139"/>
      <c r="BG23" s="139"/>
      <c r="BH23" s="140"/>
      <c r="BI23" s="138" t="s">
        <v>43</v>
      </c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40"/>
      <c r="BY23" s="138" t="s">
        <v>52</v>
      </c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40"/>
    </row>
    <row r="24" spans="1:177" ht="16.5" customHeight="1" thickTop="1" thickBot="1">
      <c r="A24" s="376" t="s">
        <v>1</v>
      </c>
      <c r="B24" s="147" t="s">
        <v>3</v>
      </c>
      <c r="C24" s="149"/>
      <c r="D24" s="367" t="s">
        <v>8</v>
      </c>
      <c r="E24" s="371"/>
      <c r="F24" s="147" t="s">
        <v>9</v>
      </c>
      <c r="G24" s="148"/>
      <c r="H24" s="147" t="s">
        <v>16</v>
      </c>
      <c r="I24" s="148"/>
      <c r="J24" s="149"/>
      <c r="K24" s="147" t="s">
        <v>14</v>
      </c>
      <c r="L24" s="149"/>
      <c r="M24" s="147" t="s">
        <v>275</v>
      </c>
      <c r="N24" s="149"/>
      <c r="O24" s="367" t="s">
        <v>15</v>
      </c>
      <c r="P24" s="371"/>
      <c r="Q24" s="147" t="s">
        <v>276</v>
      </c>
      <c r="R24" s="148"/>
      <c r="S24" s="365" t="s">
        <v>10</v>
      </c>
      <c r="T24" s="348"/>
      <c r="U24" s="366"/>
      <c r="V24" s="372" t="s">
        <v>32</v>
      </c>
      <c r="W24" s="147" t="s">
        <v>267</v>
      </c>
      <c r="X24" s="148"/>
      <c r="Y24" s="148"/>
      <c r="Z24" s="367" t="s">
        <v>17</v>
      </c>
      <c r="AA24" s="367" t="s">
        <v>56</v>
      </c>
      <c r="AB24" s="367" t="s">
        <v>18</v>
      </c>
      <c r="AC24" s="367" t="s">
        <v>19</v>
      </c>
      <c r="AD24" s="369" t="s">
        <v>20</v>
      </c>
      <c r="AE24" s="147" t="s">
        <v>108</v>
      </c>
      <c r="AF24" s="148"/>
      <c r="AG24" s="181"/>
      <c r="AH24" s="182" t="s">
        <v>28</v>
      </c>
      <c r="AI24" s="362"/>
      <c r="AJ24" s="365" t="s">
        <v>29</v>
      </c>
      <c r="AK24" s="366"/>
      <c r="AL24" s="147" t="s">
        <v>31</v>
      </c>
      <c r="AM24" s="147" t="s">
        <v>34</v>
      </c>
      <c r="AN24" s="147" t="s">
        <v>33</v>
      </c>
      <c r="AO24" s="374" t="s">
        <v>69</v>
      </c>
      <c r="AP24" s="147" t="s">
        <v>58</v>
      </c>
      <c r="AQ24" s="150" t="s">
        <v>70</v>
      </c>
      <c r="AR24" s="356"/>
      <c r="AS24" s="147" t="s">
        <v>35</v>
      </c>
      <c r="AT24" s="352" t="s">
        <v>47</v>
      </c>
      <c r="AU24" s="358" t="s">
        <v>274</v>
      </c>
      <c r="AV24" s="359"/>
      <c r="AW24" s="147" t="s">
        <v>57</v>
      </c>
      <c r="AX24" s="147" t="s">
        <v>71</v>
      </c>
      <c r="AY24" s="181"/>
      <c r="AZ24" s="182" t="s">
        <v>45</v>
      </c>
      <c r="BA24" s="352" t="s">
        <v>46</v>
      </c>
      <c r="BB24" s="354" t="s">
        <v>160</v>
      </c>
      <c r="BC24" s="350"/>
      <c r="BD24" s="355"/>
      <c r="BE24" s="147" t="s">
        <v>38</v>
      </c>
      <c r="BF24" s="147" t="s">
        <v>39</v>
      </c>
      <c r="BG24" s="147" t="s">
        <v>59</v>
      </c>
      <c r="BH24" s="345" t="s">
        <v>232</v>
      </c>
      <c r="BI24" s="347" t="s">
        <v>44</v>
      </c>
      <c r="BJ24" s="348"/>
      <c r="BK24" s="348"/>
      <c r="BL24" s="348"/>
      <c r="BM24" s="348"/>
      <c r="BN24" s="349" t="s">
        <v>49</v>
      </c>
      <c r="BO24" s="350"/>
      <c r="BP24" s="350"/>
      <c r="BQ24" s="350"/>
      <c r="BR24" s="350"/>
      <c r="BS24" s="350"/>
      <c r="BT24" s="350"/>
      <c r="BU24" s="350"/>
      <c r="BV24" s="350"/>
      <c r="BW24" s="350"/>
      <c r="BX24" s="351"/>
      <c r="BY24" s="182" t="s">
        <v>109</v>
      </c>
      <c r="BZ24" s="148"/>
      <c r="CA24" s="149"/>
      <c r="CB24" s="147" t="s">
        <v>167</v>
      </c>
      <c r="CC24" s="149"/>
      <c r="CD24" s="147" t="s">
        <v>114</v>
      </c>
      <c r="CE24" s="148"/>
      <c r="CF24" s="148"/>
      <c r="CG24" s="147" t="s">
        <v>110</v>
      </c>
      <c r="CH24" s="148"/>
      <c r="CI24" s="149"/>
      <c r="CJ24" s="147" t="s">
        <v>111</v>
      </c>
      <c r="CK24" s="148"/>
      <c r="CL24" s="149"/>
      <c r="CM24" s="147" t="s">
        <v>112</v>
      </c>
      <c r="CN24" s="149"/>
      <c r="CO24" s="147" t="s">
        <v>60</v>
      </c>
      <c r="CP24" s="149"/>
      <c r="CQ24" s="147" t="s">
        <v>116</v>
      </c>
      <c r="CR24" s="148"/>
      <c r="CS24" s="147" t="s">
        <v>113</v>
      </c>
      <c r="CT24" s="149"/>
      <c r="CU24" s="147" t="s">
        <v>68</v>
      </c>
      <c r="CV24" s="149"/>
      <c r="CW24" s="147" t="s">
        <v>68</v>
      </c>
      <c r="CX24" s="149"/>
      <c r="CY24" s="147" t="s">
        <v>138</v>
      </c>
      <c r="CZ24" s="148"/>
      <c r="DA24" s="148"/>
      <c r="DB24" s="147" t="s">
        <v>61</v>
      </c>
      <c r="DC24" s="148"/>
      <c r="DD24" s="149"/>
      <c r="DE24" s="147" t="s">
        <v>115</v>
      </c>
      <c r="DF24" s="149"/>
      <c r="DG24" s="147" t="s">
        <v>95</v>
      </c>
      <c r="DH24" s="148"/>
      <c r="DI24" s="149"/>
      <c r="DJ24" s="147" t="s">
        <v>96</v>
      </c>
      <c r="DK24" s="149"/>
      <c r="DL24" s="147" t="s">
        <v>97</v>
      </c>
      <c r="DM24" s="149"/>
      <c r="DN24" s="147" t="s">
        <v>94</v>
      </c>
      <c r="DO24" s="149"/>
      <c r="DP24" s="147" t="s">
        <v>92</v>
      </c>
      <c r="DQ24" s="149"/>
      <c r="DR24" s="147" t="s">
        <v>93</v>
      </c>
      <c r="DS24" s="149"/>
      <c r="DT24" s="147" t="s">
        <v>98</v>
      </c>
      <c r="DU24" s="149"/>
      <c r="DV24" s="147" t="s">
        <v>99</v>
      </c>
      <c r="DW24" s="149"/>
      <c r="DX24" s="147" t="s">
        <v>100</v>
      </c>
      <c r="DY24" s="149"/>
      <c r="DZ24" s="147" t="s">
        <v>101</v>
      </c>
      <c r="EA24" s="149"/>
      <c r="EB24" s="147" t="s">
        <v>102</v>
      </c>
      <c r="EC24" s="149"/>
      <c r="ED24" s="147" t="s">
        <v>103</v>
      </c>
      <c r="EE24" s="149"/>
      <c r="EF24" s="147" t="s">
        <v>104</v>
      </c>
      <c r="EG24" s="149"/>
      <c r="EH24" s="147" t="s">
        <v>105</v>
      </c>
      <c r="EI24" s="149"/>
      <c r="EJ24" s="147" t="s">
        <v>106</v>
      </c>
      <c r="EK24" s="149"/>
      <c r="EL24" s="147" t="s">
        <v>107</v>
      </c>
      <c r="EM24" s="149"/>
      <c r="EN24" s="147" t="s">
        <v>74</v>
      </c>
      <c r="EO24" s="148"/>
      <c r="EP24" s="148"/>
      <c r="EQ24" s="147" t="s">
        <v>117</v>
      </c>
      <c r="ER24" s="148"/>
      <c r="ES24" s="149"/>
      <c r="ET24" s="147" t="s">
        <v>307</v>
      </c>
      <c r="EU24" s="148"/>
      <c r="EV24" s="149"/>
      <c r="EW24" s="147" t="s">
        <v>308</v>
      </c>
      <c r="EX24" s="148"/>
      <c r="EY24" s="148"/>
      <c r="EZ24" s="147" t="s">
        <v>309</v>
      </c>
      <c r="FA24" s="148"/>
      <c r="FB24" s="149"/>
      <c r="FC24" s="147" t="s">
        <v>121</v>
      </c>
      <c r="FD24" s="148"/>
      <c r="FE24" s="149"/>
      <c r="FF24" s="147" t="s">
        <v>118</v>
      </c>
      <c r="FG24" s="148"/>
      <c r="FH24" s="148"/>
      <c r="FI24" s="148"/>
      <c r="FJ24" s="147" t="s">
        <v>119</v>
      </c>
      <c r="FK24" s="148"/>
      <c r="FL24" s="149"/>
      <c r="FM24" s="147" t="s">
        <v>120</v>
      </c>
      <c r="FN24" s="148"/>
      <c r="FO24" s="148"/>
      <c r="FP24" s="147" t="s">
        <v>260</v>
      </c>
      <c r="FQ24" s="148"/>
      <c r="FR24" s="148"/>
      <c r="FS24" s="147" t="s">
        <v>122</v>
      </c>
      <c r="FT24" s="148"/>
      <c r="FU24" s="181"/>
    </row>
    <row r="25" spans="1:177" ht="19.5" thickTop="1" thickBot="1">
      <c r="A25" s="377"/>
      <c r="B25" s="153"/>
      <c r="C25" s="344"/>
      <c r="D25" s="368"/>
      <c r="E25" s="370"/>
      <c r="F25" s="153"/>
      <c r="G25" s="154"/>
      <c r="H25" s="153"/>
      <c r="I25" s="154"/>
      <c r="J25" s="344"/>
      <c r="K25" s="153"/>
      <c r="L25" s="344"/>
      <c r="M25" s="153"/>
      <c r="N25" s="344"/>
      <c r="O25" s="368"/>
      <c r="P25" s="370"/>
      <c r="Q25" s="153"/>
      <c r="R25" s="154"/>
      <c r="S25" s="31" t="s">
        <v>11</v>
      </c>
      <c r="T25" s="85" t="s">
        <v>13</v>
      </c>
      <c r="U25" s="32" t="s">
        <v>12</v>
      </c>
      <c r="V25" s="373"/>
      <c r="W25" s="153"/>
      <c r="X25" s="154"/>
      <c r="Y25" s="154"/>
      <c r="Z25" s="368"/>
      <c r="AA25" s="368"/>
      <c r="AB25" s="368"/>
      <c r="AC25" s="368"/>
      <c r="AD25" s="370"/>
      <c r="AE25" s="153"/>
      <c r="AF25" s="154"/>
      <c r="AG25" s="155"/>
      <c r="AH25" s="363"/>
      <c r="AI25" s="364"/>
      <c r="AJ25" s="29" t="s">
        <v>30</v>
      </c>
      <c r="AK25" s="30" t="s">
        <v>53</v>
      </c>
      <c r="AL25" s="153"/>
      <c r="AM25" s="153"/>
      <c r="AN25" s="153"/>
      <c r="AO25" s="375"/>
      <c r="AP25" s="153"/>
      <c r="AQ25" s="153"/>
      <c r="AR25" s="344"/>
      <c r="AS25" s="153"/>
      <c r="AT25" s="357"/>
      <c r="AU25" s="360"/>
      <c r="AV25" s="361"/>
      <c r="AW25" s="153"/>
      <c r="AX25" s="153"/>
      <c r="AY25" s="155"/>
      <c r="AZ25" s="297"/>
      <c r="BA25" s="353"/>
      <c r="BB25" s="85" t="s">
        <v>42</v>
      </c>
      <c r="BC25" s="27" t="s">
        <v>40</v>
      </c>
      <c r="BD25" s="28" t="s">
        <v>41</v>
      </c>
      <c r="BE25" s="153"/>
      <c r="BF25" s="153"/>
      <c r="BG25" s="153"/>
      <c r="BH25" s="346"/>
      <c r="BI25" s="337" t="s">
        <v>233</v>
      </c>
      <c r="BJ25" s="338"/>
      <c r="BK25" s="69" t="s">
        <v>48</v>
      </c>
      <c r="BL25" s="339" t="s">
        <v>234</v>
      </c>
      <c r="BM25" s="338"/>
      <c r="BN25" s="340" t="s">
        <v>235</v>
      </c>
      <c r="BO25" s="338"/>
      <c r="BP25" s="69" t="s">
        <v>50</v>
      </c>
      <c r="BQ25" s="27" t="s">
        <v>51</v>
      </c>
      <c r="BR25" s="341" t="s">
        <v>28</v>
      </c>
      <c r="BS25" s="342"/>
      <c r="BT25" s="339" t="s">
        <v>161</v>
      </c>
      <c r="BU25" s="338"/>
      <c r="BV25" s="338"/>
      <c r="BW25" s="339" t="s">
        <v>236</v>
      </c>
      <c r="BX25" s="343"/>
      <c r="BY25" s="297"/>
      <c r="BZ25" s="154"/>
      <c r="CA25" s="344"/>
      <c r="CB25" s="153"/>
      <c r="CC25" s="344"/>
      <c r="CD25" s="153"/>
      <c r="CE25" s="154"/>
      <c r="CF25" s="154"/>
      <c r="CG25" s="153"/>
      <c r="CH25" s="154"/>
      <c r="CI25" s="344"/>
      <c r="CJ25" s="153"/>
      <c r="CK25" s="154"/>
      <c r="CL25" s="344"/>
      <c r="CM25" s="153"/>
      <c r="CN25" s="344"/>
      <c r="CO25" s="153"/>
      <c r="CP25" s="344"/>
      <c r="CQ25" s="153"/>
      <c r="CR25" s="154"/>
      <c r="CS25" s="153"/>
      <c r="CT25" s="344"/>
      <c r="CU25" s="153"/>
      <c r="CV25" s="344"/>
      <c r="CW25" s="153"/>
      <c r="CX25" s="344"/>
      <c r="CY25" s="147"/>
      <c r="CZ25" s="148"/>
      <c r="DA25" s="148"/>
      <c r="DB25" s="147"/>
      <c r="DC25" s="148"/>
      <c r="DD25" s="149"/>
      <c r="DE25" s="153"/>
      <c r="DF25" s="344"/>
      <c r="DG25" s="153"/>
      <c r="DH25" s="154"/>
      <c r="DI25" s="344"/>
      <c r="DJ25" s="153"/>
      <c r="DK25" s="344"/>
      <c r="DL25" s="153"/>
      <c r="DM25" s="344"/>
      <c r="DN25" s="153"/>
      <c r="DO25" s="344"/>
      <c r="DP25" s="153"/>
      <c r="DQ25" s="344"/>
      <c r="DR25" s="153"/>
      <c r="DS25" s="344"/>
      <c r="DT25" s="153"/>
      <c r="DU25" s="344"/>
      <c r="DV25" s="153"/>
      <c r="DW25" s="344"/>
      <c r="DX25" s="153"/>
      <c r="DY25" s="344"/>
      <c r="DZ25" s="153"/>
      <c r="EA25" s="344"/>
      <c r="EB25" s="153"/>
      <c r="EC25" s="344"/>
      <c r="ED25" s="153"/>
      <c r="EE25" s="344"/>
      <c r="EF25" s="153"/>
      <c r="EG25" s="344"/>
      <c r="EH25" s="153"/>
      <c r="EI25" s="344"/>
      <c r="EJ25" s="153"/>
      <c r="EK25" s="344"/>
      <c r="EL25" s="153"/>
      <c r="EM25" s="344"/>
      <c r="EN25" s="153"/>
      <c r="EO25" s="154"/>
      <c r="EP25" s="154"/>
      <c r="EQ25" s="153"/>
      <c r="ER25" s="154"/>
      <c r="ES25" s="344"/>
      <c r="ET25" s="153"/>
      <c r="EU25" s="154"/>
      <c r="EV25" s="344"/>
      <c r="EW25" s="153"/>
      <c r="EX25" s="154"/>
      <c r="EY25" s="154"/>
      <c r="EZ25" s="153"/>
      <c r="FA25" s="154"/>
      <c r="FB25" s="344"/>
      <c r="FC25" s="153"/>
      <c r="FD25" s="154"/>
      <c r="FE25" s="344"/>
      <c r="FF25" s="153"/>
      <c r="FG25" s="154"/>
      <c r="FH25" s="154"/>
      <c r="FI25" s="154"/>
      <c r="FJ25" s="153"/>
      <c r="FK25" s="154"/>
      <c r="FL25" s="344"/>
      <c r="FM25" s="153"/>
      <c r="FN25" s="154"/>
      <c r="FO25" s="154"/>
      <c r="FP25" s="153"/>
      <c r="FQ25" s="154"/>
      <c r="FR25" s="154"/>
      <c r="FS25" s="153"/>
      <c r="FT25" s="154"/>
      <c r="FU25" s="155"/>
    </row>
    <row r="26" spans="1:177" ht="15.75" thickBot="1">
      <c r="A26" s="19"/>
      <c r="B26" s="333">
        <v>2.5</v>
      </c>
      <c r="C26" s="334"/>
      <c r="D26" s="327">
        <v>3.6</v>
      </c>
      <c r="E26" s="327"/>
      <c r="F26" s="335">
        <v>14</v>
      </c>
      <c r="G26" s="336"/>
      <c r="H26" s="307">
        <f>(9.81*(F26^2))/(2*PI())</f>
        <v>306.01675837937267</v>
      </c>
      <c r="I26" s="308"/>
      <c r="J26" s="309"/>
      <c r="K26" s="310">
        <v>6.5</v>
      </c>
      <c r="L26" s="311"/>
      <c r="M26" s="226">
        <f>H26*SQRT(TANH((2*PI()*K26)/H26))</f>
        <v>111.46417934728616</v>
      </c>
      <c r="N26" s="221"/>
      <c r="O26" s="327">
        <v>5.0999999999999996</v>
      </c>
      <c r="P26" s="327"/>
      <c r="Q26" s="307">
        <f>O26/H26</f>
        <v>1.6665753950891368E-2</v>
      </c>
      <c r="R26" s="308"/>
      <c r="S26" s="20">
        <v>2.5</v>
      </c>
      <c r="T26" s="21" t="s">
        <v>13</v>
      </c>
      <c r="U26" s="22">
        <v>1</v>
      </c>
      <c r="V26" s="17">
        <f>ATAN(U26/S26)*(180/PI())</f>
        <v>21.801409486351812</v>
      </c>
      <c r="W26" s="80">
        <f>((TAN((V26*PI())/180))/(SQRT(Q26)))</f>
        <v>3.0984715188425347</v>
      </c>
      <c r="X26" s="328" t="str">
        <f>IF(W26&gt;3,"Verifica","Não verifica")</f>
        <v>Verifica</v>
      </c>
      <c r="Y26" s="329"/>
      <c r="Z26" s="23">
        <v>5.0999999999999996</v>
      </c>
      <c r="AA26" s="25">
        <f>Z26+B26</f>
        <v>7.6</v>
      </c>
      <c r="AB26" s="24">
        <v>1.85</v>
      </c>
      <c r="AC26" s="25">
        <f>Z26/O26</f>
        <v>1</v>
      </c>
      <c r="AD26" s="26">
        <f>AB26/O26</f>
        <v>0.36274509803921573</v>
      </c>
      <c r="AE26" s="330" t="str">
        <f>IF(AG26=1,"Zona de Impacto",IF(AG26=2,"Zona de não Impacto",""))</f>
        <v>Zona de não Impacto</v>
      </c>
      <c r="AF26" s="308"/>
      <c r="AG26" s="68">
        <v>2</v>
      </c>
      <c r="AH26" s="331">
        <v>0.4</v>
      </c>
      <c r="AI26" s="332"/>
      <c r="AJ26" s="82">
        <v>1.5</v>
      </c>
      <c r="AK26" s="33">
        <v>0.57499999999999996</v>
      </c>
      <c r="AL26" s="80">
        <f>O26*(AJ26*(1-EXP(-(AK26*W26))))</f>
        <v>6.3620078608694994</v>
      </c>
      <c r="AM26" s="117">
        <f>2.9*((AL26/O26)*COS(V26*PI()/180))^2</f>
        <v>3.8903444849832098</v>
      </c>
      <c r="AN26" s="117">
        <f>O26*(1-(Z26/AL26))</f>
        <v>1.0116680505884823</v>
      </c>
      <c r="AO26" s="15">
        <f>10.25</f>
        <v>10.25</v>
      </c>
      <c r="AP26" s="8">
        <f>AA26-B26</f>
        <v>5.0999999999999996</v>
      </c>
      <c r="AQ26" s="233">
        <f>AM26*AO26*AN26</f>
        <v>40.341306517716326</v>
      </c>
      <c r="AR26" s="245"/>
      <c r="AS26" s="113">
        <f>IF(AND((O26/M26)&gt;0.03,(O26/M26)&lt;0.075),(0.8*EXP((-10.9*AB26)/M26)),"INv")</f>
        <v>0.66760827728209104</v>
      </c>
      <c r="AT26" s="84">
        <v>-0.25</v>
      </c>
      <c r="AU26" s="319">
        <f>B26+AT26</f>
        <v>2.25</v>
      </c>
      <c r="AV26" s="320"/>
      <c r="AW26" s="77">
        <f>AU26-B26</f>
        <v>-0.25</v>
      </c>
      <c r="AX26" s="233">
        <f>AM26*AS26*AO26*AN26</f>
        <v>26.932190147601386</v>
      </c>
      <c r="AY26" s="324"/>
      <c r="AZ26" s="16">
        <v>1.45</v>
      </c>
      <c r="BA26" s="17">
        <f>AB26/AZ26</f>
        <v>1.2758620689655173</v>
      </c>
      <c r="BB26" s="83">
        <v>0.3</v>
      </c>
      <c r="BC26" s="18">
        <v>7.2999999999999995E-2</v>
      </c>
      <c r="BD26" s="18">
        <v>383</v>
      </c>
      <c r="BE26" s="81">
        <f>IF(AND((O26/M26)&gt;0.03,(O26/M26)&lt;0.075),BD26*((O26/M26)-BC26)^2,"Inv")</f>
        <v>0.2843052291034272</v>
      </c>
      <c r="BF26" s="80">
        <f>BB26*EXP(BE26)</f>
        <v>0.39865154070993175</v>
      </c>
      <c r="BG26" s="8">
        <f>AU26-B26</f>
        <v>-0.25</v>
      </c>
      <c r="BH26" s="11">
        <f>BF26*AO26*(AN26+Z26-BG26)</f>
        <v>25.994909890985525</v>
      </c>
      <c r="BI26" s="325">
        <f>AS26*AQ26</f>
        <v>26.932190147601389</v>
      </c>
      <c r="BJ26" s="308"/>
      <c r="BK26" s="70">
        <f>AT26</f>
        <v>-0.25</v>
      </c>
      <c r="BL26" s="226">
        <f>BF26*AO26*(AN26+Z26-BK26)</f>
        <v>25.994909890985525</v>
      </c>
      <c r="BM26" s="221"/>
      <c r="BN26" s="326">
        <v>0</v>
      </c>
      <c r="BO26" s="308"/>
      <c r="BP26" s="71">
        <v>5</v>
      </c>
      <c r="BQ26" s="79">
        <f>BP26/M26</f>
        <v>4.4857460300511652E-2</v>
      </c>
      <c r="BR26" s="231">
        <v>0.3</v>
      </c>
      <c r="BS26" s="232"/>
      <c r="BT26" s="231">
        <v>0.4</v>
      </c>
      <c r="BU26" s="230"/>
      <c r="BV26" s="232"/>
      <c r="BW26" s="221">
        <f>BT26*BL26</f>
        <v>10.397963956394211</v>
      </c>
      <c r="BX26" s="321"/>
      <c r="BY26" s="322">
        <f>AU26</f>
        <v>2.25</v>
      </c>
      <c r="BZ26" s="323"/>
      <c r="CA26" s="320"/>
      <c r="CB26" s="316">
        <v>0.5</v>
      </c>
      <c r="CC26" s="318"/>
      <c r="CD26" s="307">
        <f>CB26+BY26</f>
        <v>2.75</v>
      </c>
      <c r="CE26" s="308"/>
      <c r="CF26" s="308"/>
      <c r="CG26" s="316">
        <v>1.2</v>
      </c>
      <c r="CH26" s="317"/>
      <c r="CI26" s="318"/>
      <c r="CJ26" s="316">
        <v>1.75</v>
      </c>
      <c r="CK26" s="317"/>
      <c r="CL26" s="318"/>
      <c r="CM26" s="319">
        <f>CD26</f>
        <v>2.75</v>
      </c>
      <c r="CN26" s="320"/>
      <c r="CO26" s="307">
        <f>BP26</f>
        <v>5</v>
      </c>
      <c r="CP26" s="309"/>
      <c r="CQ26" s="316">
        <v>2.75</v>
      </c>
      <c r="CR26" s="318"/>
      <c r="CS26" s="319">
        <f>CM26+CQ26</f>
        <v>5.5</v>
      </c>
      <c r="CT26" s="320"/>
      <c r="CU26" s="310">
        <v>5.0999999999999996</v>
      </c>
      <c r="CV26" s="311"/>
      <c r="CW26" s="307">
        <f>CU26+B26</f>
        <v>7.6</v>
      </c>
      <c r="CX26" s="309"/>
      <c r="CY26" s="307">
        <f>Z26+AN26</f>
        <v>6.1116680505884817</v>
      </c>
      <c r="CZ26" s="308"/>
      <c r="DA26" s="308"/>
      <c r="DB26" s="307">
        <f>AA26+AN26</f>
        <v>8.6116680505884826</v>
      </c>
      <c r="DC26" s="308"/>
      <c r="DD26" s="309"/>
      <c r="DE26" s="310">
        <v>6</v>
      </c>
      <c r="DF26" s="311"/>
      <c r="DG26" s="307">
        <f>DE26+B26</f>
        <v>8.5</v>
      </c>
      <c r="DH26" s="308"/>
      <c r="DI26" s="309"/>
      <c r="DJ26" s="307">
        <f>DG26</f>
        <v>8.5</v>
      </c>
      <c r="DK26" s="309"/>
      <c r="DL26" s="312">
        <v>3</v>
      </c>
      <c r="DM26" s="313"/>
      <c r="DN26" s="307">
        <f>DJ26-DL26</f>
        <v>5.5</v>
      </c>
      <c r="DO26" s="309"/>
      <c r="DP26" s="310">
        <v>1.75</v>
      </c>
      <c r="DQ26" s="311"/>
      <c r="DR26" s="310">
        <v>2.5</v>
      </c>
      <c r="DS26" s="311"/>
      <c r="DT26" s="307">
        <f>DN26</f>
        <v>5.5</v>
      </c>
      <c r="DU26" s="309"/>
      <c r="DV26" s="312">
        <v>0</v>
      </c>
      <c r="DW26" s="313"/>
      <c r="DX26" s="307">
        <f>DT26-DV26</f>
        <v>5.5</v>
      </c>
      <c r="DY26" s="309"/>
      <c r="DZ26" s="310">
        <v>0</v>
      </c>
      <c r="EA26" s="311"/>
      <c r="EB26" s="310">
        <v>0</v>
      </c>
      <c r="EC26" s="311"/>
      <c r="ED26" s="307">
        <f>DX26</f>
        <v>5.5</v>
      </c>
      <c r="EE26" s="309"/>
      <c r="EF26" s="312">
        <v>0</v>
      </c>
      <c r="EG26" s="313"/>
      <c r="EH26" s="307">
        <f>ED26-EF26</f>
        <v>5.5</v>
      </c>
      <c r="EI26" s="309"/>
      <c r="EJ26" s="310">
        <v>0</v>
      </c>
      <c r="EK26" s="311"/>
      <c r="EL26" s="310">
        <v>0</v>
      </c>
      <c r="EM26" s="311"/>
      <c r="EN26" s="310">
        <v>2.9</v>
      </c>
      <c r="EO26" s="314"/>
      <c r="EP26" s="314"/>
      <c r="EQ26" s="307">
        <f>CW26-EN26</f>
        <v>4.6999999999999993</v>
      </c>
      <c r="ER26" s="308"/>
      <c r="ES26" s="309"/>
      <c r="ET26" s="307">
        <f>EQ26</f>
        <v>4.6999999999999993</v>
      </c>
      <c r="EU26" s="308"/>
      <c r="EV26" s="309"/>
      <c r="EW26" s="310">
        <v>1.4</v>
      </c>
      <c r="EX26" s="314"/>
      <c r="EY26" s="314"/>
      <c r="EZ26" s="307">
        <f>EQ26-EW26</f>
        <v>3.2999999999999994</v>
      </c>
      <c r="FA26" s="308"/>
      <c r="FB26" s="309"/>
      <c r="FC26" s="307">
        <f>EZ26</f>
        <v>3.2999999999999994</v>
      </c>
      <c r="FD26" s="308"/>
      <c r="FE26" s="309"/>
      <c r="FF26" s="231">
        <v>2.75</v>
      </c>
      <c r="FG26" s="230"/>
      <c r="FH26" s="230"/>
      <c r="FI26" s="230"/>
      <c r="FJ26" s="226">
        <f>CS26-FF26</f>
        <v>2.75</v>
      </c>
      <c r="FK26" s="221"/>
      <c r="FL26" s="142"/>
      <c r="FM26" s="310">
        <v>0</v>
      </c>
      <c r="FN26" s="314"/>
      <c r="FO26" s="314"/>
      <c r="FP26" s="307">
        <f>FJ26-FM26</f>
        <v>2.75</v>
      </c>
      <c r="FQ26" s="308"/>
      <c r="FR26" s="308"/>
      <c r="FS26" s="307">
        <f>FP26</f>
        <v>2.75</v>
      </c>
      <c r="FT26" s="308"/>
      <c r="FU26" s="315"/>
    </row>
    <row r="27" spans="1:177" ht="15.75" thickBot="1">
      <c r="AP27" s="10">
        <f>(AA26+AN26)-B26</f>
        <v>6.1116680505884826</v>
      </c>
      <c r="AQ27" s="301">
        <f>AM26*AO26*AN26</f>
        <v>40.341306517716326</v>
      </c>
      <c r="AR27" s="302"/>
      <c r="AW27" s="14">
        <f>CM26-B26</f>
        <v>0.25</v>
      </c>
      <c r="AX27" s="199">
        <f>AM26*AS26*AO26*AN26</f>
        <v>26.932190147601386</v>
      </c>
      <c r="AY27" s="200"/>
      <c r="BG27" s="9">
        <f>CM26-B26</f>
        <v>0.25</v>
      </c>
      <c r="BH27" s="12">
        <f>BF26*AO26*(AN26+Z26-BG27)</f>
        <v>23.951820744847122</v>
      </c>
      <c r="CU27" s="43"/>
      <c r="CV27" s="43"/>
      <c r="CW27" s="43"/>
      <c r="CX27" s="43"/>
      <c r="CY27" s="43"/>
      <c r="DB27" s="6"/>
      <c r="DL27" s="303" t="str">
        <f>IF((DL26+DV26+EF26)=(DG26-CS26),"Corresponde",IF((DL26+DV26+EF26)&gt;(DG26-CS26),"Excede","Falta"))</f>
        <v>Corresponde</v>
      </c>
      <c r="DM27" s="304"/>
      <c r="DV27" s="303" t="str">
        <f>IF((DL26+DV26+EF26)=(DG26-CS26),"Corresponde",IF((DL26+DV26+EF26)&gt;(DG26-CS26),"Excede","Falta"))</f>
        <v>Corresponde</v>
      </c>
      <c r="DW27" s="304"/>
      <c r="EF27" s="303" t="str">
        <f>IF((DL26+DV26+EF26)=(DG26-CS26),"Corresponde",IF((DL26+DV26+EF26)&gt;(DG26-CS26),"Excede","Falta"))</f>
        <v>Corresponde</v>
      </c>
      <c r="EG27" s="304"/>
    </row>
    <row r="28" spans="1:177" ht="15.75" thickBot="1">
      <c r="W28" s="6"/>
      <c r="AW28" s="7">
        <f>AA26-B26</f>
        <v>5.0999999999999996</v>
      </c>
      <c r="AX28" s="305">
        <f>AM26*AS26*AO26*AN26</f>
        <v>26.932190147601386</v>
      </c>
      <c r="AY28" s="306"/>
      <c r="BG28" s="9">
        <f>AA26-B26</f>
        <v>5.0999999999999996</v>
      </c>
      <c r="BH28" s="12">
        <f>BF26*AO26*(AN26+Z26-BG28)</f>
        <v>4.1338560273046436</v>
      </c>
      <c r="CU28" s="43"/>
      <c r="CV28" s="43"/>
      <c r="CW28" s="43"/>
      <c r="CX28" s="43"/>
      <c r="CY28" s="43"/>
      <c r="DC28" s="6"/>
    </row>
    <row r="29" spans="1:177" ht="15.75" thickBot="1">
      <c r="BG29" s="10">
        <f>(AA26+AN26)-B26</f>
        <v>6.1116680505884826</v>
      </c>
      <c r="BH29" s="13">
        <f>BF26*AO26*(AN26+Z26-BG29)</f>
        <v>-3.629255378247365E-15</v>
      </c>
    </row>
    <row r="30" spans="1:177" ht="15.75" thickTop="1">
      <c r="BF30" s="58" t="s">
        <v>192</v>
      </c>
      <c r="BG30" s="54">
        <f>DJ26-B26</f>
        <v>6</v>
      </c>
      <c r="BH30" s="47">
        <f>BF26*AO26*(AN26+Z26-BG30)</f>
        <v>0.45629556425552159</v>
      </c>
      <c r="CV30" s="43"/>
    </row>
    <row r="31" spans="1:177">
      <c r="Z31" s="6"/>
      <c r="AA31" s="6"/>
      <c r="AX31" s="95"/>
      <c r="AY31" s="95"/>
      <c r="AZ31" s="95"/>
      <c r="BF31" s="59" t="s">
        <v>193</v>
      </c>
      <c r="BG31" s="55">
        <f>DT26-B26</f>
        <v>3</v>
      </c>
      <c r="BH31" s="51">
        <f>BF26*AO26*(AN26+Z26-BG31)</f>
        <v>12.714830441085923</v>
      </c>
    </row>
    <row r="32" spans="1:177">
      <c r="AX32" s="96"/>
      <c r="AY32" s="96"/>
      <c r="AZ32" s="96"/>
      <c r="BF32" s="59" t="s">
        <v>194</v>
      </c>
      <c r="BG32" s="56">
        <f>ED26-B26</f>
        <v>3</v>
      </c>
      <c r="BH32" s="53">
        <f>BF26*AO26*(AN26+Z26-BG32)</f>
        <v>12.714830441085923</v>
      </c>
    </row>
    <row r="33" spans="1:350">
      <c r="BF33" s="59" t="s">
        <v>195</v>
      </c>
      <c r="BG33" s="56">
        <f>CS26-B26</f>
        <v>3</v>
      </c>
      <c r="BH33" s="53">
        <f>BF26*AO26*(AN26+Z26-BG33)</f>
        <v>12.714830441085923</v>
      </c>
    </row>
    <row r="34" spans="1:350">
      <c r="BF34" s="59" t="s">
        <v>196</v>
      </c>
      <c r="BG34" s="56">
        <f>CD26-B26</f>
        <v>0.25</v>
      </c>
      <c r="BH34" s="53">
        <f>BF26*AO26*(AN26+Z26-BG34)</f>
        <v>23.951820744847122</v>
      </c>
    </row>
    <row r="35" spans="1:350" ht="15.75" thickBot="1">
      <c r="BF35" s="60" t="s">
        <v>197</v>
      </c>
      <c r="BG35" s="57">
        <f>BY26-B26</f>
        <v>-0.25</v>
      </c>
      <c r="BH35" s="52">
        <f>BF26*AO26*(AN26+Z26-BG35)</f>
        <v>25.994909890985525</v>
      </c>
    </row>
    <row r="36" spans="1:350" ht="16.5" thickTop="1" thickBo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</row>
    <row r="37" spans="1:350" ht="16.5" thickBot="1">
      <c r="A37" s="138" t="s">
        <v>62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  <c r="FL37" s="139"/>
      <c r="FM37" s="139"/>
      <c r="FN37" s="139"/>
      <c r="FO37" s="139"/>
      <c r="FP37" s="139"/>
      <c r="FQ37" s="139"/>
      <c r="FR37" s="139"/>
      <c r="FS37" s="139"/>
      <c r="FT37" s="139"/>
      <c r="FU37" s="139"/>
      <c r="FV37" s="294" t="s">
        <v>63</v>
      </c>
      <c r="FW37" s="295"/>
      <c r="FX37" s="295"/>
      <c r="FY37" s="295"/>
      <c r="FZ37" s="295"/>
      <c r="GA37" s="295"/>
      <c r="GB37" s="295"/>
      <c r="GC37" s="295"/>
      <c r="GD37" s="295"/>
      <c r="GE37" s="295"/>
      <c r="GF37" s="295"/>
      <c r="GG37" s="295"/>
      <c r="GH37" s="295"/>
      <c r="GI37" s="295"/>
      <c r="GJ37" s="295"/>
      <c r="GK37" s="295"/>
      <c r="GL37" s="295"/>
      <c r="GM37" s="295"/>
      <c r="GN37" s="295"/>
      <c r="GO37" s="295"/>
      <c r="GP37" s="295"/>
      <c r="GQ37" s="295"/>
      <c r="GR37" s="295"/>
      <c r="GS37" s="295"/>
      <c r="GT37" s="295"/>
      <c r="GU37" s="295"/>
      <c r="GV37" s="295"/>
      <c r="GW37" s="295"/>
      <c r="GX37" s="295"/>
      <c r="GY37" s="295"/>
      <c r="GZ37" s="295"/>
      <c r="HA37" s="295"/>
      <c r="HB37" s="295"/>
      <c r="HC37" s="295"/>
      <c r="HD37" s="295"/>
      <c r="HE37" s="295"/>
      <c r="HF37" s="295"/>
      <c r="HG37" s="295"/>
      <c r="HH37" s="295"/>
      <c r="HI37" s="295"/>
      <c r="HJ37" s="295"/>
      <c r="HK37" s="295"/>
      <c r="HL37" s="295"/>
      <c r="HM37" s="295"/>
      <c r="HN37" s="295"/>
      <c r="HO37" s="295"/>
      <c r="HP37" s="295"/>
      <c r="HQ37" s="295"/>
      <c r="HR37" s="295"/>
      <c r="HS37" s="295"/>
      <c r="HT37" s="295"/>
      <c r="HU37" s="295"/>
      <c r="HV37" s="295"/>
      <c r="HW37" s="295"/>
      <c r="HX37" s="295"/>
      <c r="HY37" s="295"/>
      <c r="HZ37" s="295"/>
      <c r="IA37" s="295"/>
      <c r="IB37" s="295"/>
      <c r="IC37" s="295"/>
      <c r="ID37" s="295"/>
      <c r="IE37" s="295"/>
      <c r="IF37" s="295"/>
      <c r="IG37" s="295"/>
      <c r="IH37" s="295"/>
      <c r="II37" s="295"/>
      <c r="IJ37" s="295"/>
      <c r="IK37" s="295"/>
      <c r="IL37" s="295"/>
      <c r="IM37" s="295"/>
      <c r="IN37" s="295"/>
      <c r="IO37" s="295"/>
      <c r="IP37" s="295"/>
      <c r="IQ37" s="295"/>
      <c r="IR37" s="295"/>
      <c r="IS37" s="295"/>
      <c r="IT37" s="295"/>
      <c r="IU37" s="295"/>
      <c r="IV37" s="295"/>
      <c r="IW37" s="295"/>
      <c r="IX37" s="295"/>
      <c r="IY37" s="295"/>
      <c r="IZ37" s="295"/>
      <c r="JA37" s="295"/>
      <c r="JB37" s="295"/>
      <c r="JC37" s="295"/>
      <c r="JD37" s="295"/>
      <c r="JE37" s="295"/>
      <c r="JF37" s="295"/>
      <c r="JG37" s="295"/>
      <c r="JH37" s="295"/>
      <c r="JI37" s="295"/>
      <c r="JJ37" s="295"/>
      <c r="JK37" s="295"/>
      <c r="JL37" s="295"/>
      <c r="JM37" s="295"/>
      <c r="JN37" s="295"/>
      <c r="JO37" s="295"/>
      <c r="JP37" s="295"/>
      <c r="JQ37" s="295"/>
      <c r="JR37" s="295"/>
      <c r="JS37" s="295"/>
      <c r="JT37" s="295"/>
      <c r="JU37" s="295"/>
      <c r="JV37" s="295"/>
      <c r="JW37" s="295"/>
      <c r="JX37" s="295"/>
      <c r="JY37" s="296"/>
    </row>
    <row r="38" spans="1:350" ht="16.5" thickTop="1" thickBot="1">
      <c r="A38" s="297" t="s">
        <v>182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298" t="s">
        <v>183</v>
      </c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298" t="s">
        <v>65</v>
      </c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03"/>
      <c r="CS38" s="104"/>
      <c r="CT38" s="298" t="s">
        <v>310</v>
      </c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298" t="s">
        <v>75</v>
      </c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299"/>
      <c r="EJ38" s="300" t="s">
        <v>177</v>
      </c>
      <c r="EK38" s="154"/>
      <c r="EL38" s="154"/>
      <c r="EM38" s="154"/>
      <c r="EN38" s="298" t="s">
        <v>165</v>
      </c>
      <c r="EO38" s="154"/>
      <c r="EP38" s="154"/>
      <c r="EQ38" s="154"/>
      <c r="ER38" s="154"/>
      <c r="ES38" s="154"/>
      <c r="ET38" s="154"/>
      <c r="EU38" s="154"/>
      <c r="EV38" s="154"/>
      <c r="EW38" s="154"/>
      <c r="EX38" s="154"/>
      <c r="EY38" s="154"/>
      <c r="EZ38" s="154"/>
      <c r="FA38" s="154"/>
      <c r="FB38" s="298" t="s">
        <v>166</v>
      </c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300" t="s">
        <v>181</v>
      </c>
      <c r="FS38" s="154"/>
      <c r="FT38" s="154"/>
      <c r="FU38" s="154"/>
      <c r="FV38" s="297" t="s">
        <v>64</v>
      </c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  <c r="GG38" s="154"/>
      <c r="GH38" s="154"/>
      <c r="GI38" s="154"/>
      <c r="GJ38" s="154"/>
      <c r="GK38" s="154"/>
      <c r="GL38" s="154"/>
      <c r="GM38" s="154"/>
      <c r="GN38" s="154"/>
      <c r="GO38" s="154"/>
      <c r="GP38" s="154"/>
      <c r="GQ38" s="154"/>
      <c r="GR38" s="154"/>
      <c r="GS38" s="154"/>
      <c r="GT38" s="154"/>
      <c r="GU38" s="154"/>
      <c r="GV38" s="154"/>
      <c r="GW38" s="154"/>
      <c r="GX38" s="154"/>
      <c r="GY38" s="154"/>
      <c r="GZ38" s="154"/>
      <c r="HA38" s="154"/>
      <c r="HB38" s="154"/>
      <c r="HC38" s="154"/>
      <c r="HD38" s="154"/>
      <c r="HE38" s="154"/>
      <c r="HF38" s="154"/>
      <c r="HG38" s="154"/>
      <c r="HH38" s="154"/>
      <c r="HI38" s="154"/>
      <c r="HJ38" s="154"/>
      <c r="HK38" s="154"/>
      <c r="HL38" s="154"/>
      <c r="HM38" s="154"/>
      <c r="HN38" s="154"/>
      <c r="HO38" s="154"/>
      <c r="HP38" s="154"/>
      <c r="HQ38" s="154"/>
      <c r="HR38" s="154"/>
      <c r="HS38" s="154"/>
      <c r="HT38" s="154"/>
      <c r="HU38" s="154"/>
      <c r="HV38" s="154"/>
      <c r="HW38" s="154"/>
      <c r="HX38" s="154"/>
      <c r="HY38" s="154"/>
      <c r="HZ38" s="154"/>
      <c r="IA38" s="154"/>
      <c r="IB38" s="154"/>
      <c r="IC38" s="154"/>
      <c r="ID38" s="154"/>
      <c r="IE38" s="154"/>
      <c r="IF38" s="154"/>
      <c r="IG38" s="154"/>
      <c r="IH38" s="154"/>
      <c r="II38" s="154"/>
      <c r="IJ38" s="154"/>
      <c r="IK38" s="154"/>
      <c r="IL38" s="154"/>
      <c r="IM38" s="154"/>
      <c r="IN38" s="154"/>
      <c r="IO38" s="154"/>
      <c r="IP38" s="154"/>
      <c r="IQ38" s="154"/>
      <c r="IR38" s="154"/>
      <c r="IS38" s="154"/>
      <c r="IT38" s="154"/>
      <c r="IU38" s="154"/>
      <c r="IV38" s="154"/>
      <c r="IW38" s="154"/>
      <c r="IX38" s="154"/>
      <c r="IY38" s="154"/>
      <c r="IZ38" s="298" t="s">
        <v>210</v>
      </c>
      <c r="JA38" s="154"/>
      <c r="JB38" s="154"/>
      <c r="JC38" s="154"/>
      <c r="JD38" s="154"/>
      <c r="JE38" s="154"/>
      <c r="JF38" s="154"/>
      <c r="JG38" s="154"/>
      <c r="JH38" s="154"/>
      <c r="JI38" s="154"/>
      <c r="JJ38" s="298" t="s">
        <v>211</v>
      </c>
      <c r="JK38" s="154"/>
      <c r="JL38" s="154"/>
      <c r="JM38" s="154"/>
      <c r="JN38" s="154"/>
      <c r="JO38" s="154"/>
      <c r="JP38" s="154"/>
      <c r="JQ38" s="154"/>
      <c r="JR38" s="154"/>
      <c r="JS38" s="154"/>
      <c r="JT38" s="154"/>
      <c r="JU38" s="154"/>
      <c r="JV38" s="154"/>
      <c r="JW38" s="154"/>
      <c r="JX38" s="154"/>
      <c r="JY38" s="155"/>
    </row>
    <row r="39" spans="1:350" ht="18.75" thickBot="1">
      <c r="A39" s="293" t="s">
        <v>184</v>
      </c>
      <c r="B39" s="258"/>
      <c r="C39" s="257" t="s">
        <v>185</v>
      </c>
      <c r="D39" s="258"/>
      <c r="E39" s="257" t="s">
        <v>179</v>
      </c>
      <c r="F39" s="267"/>
      <c r="G39" s="257" t="s">
        <v>223</v>
      </c>
      <c r="H39" s="267"/>
      <c r="I39" s="276" t="s">
        <v>237</v>
      </c>
      <c r="J39" s="277"/>
      <c r="K39" s="275" t="s">
        <v>186</v>
      </c>
      <c r="L39" s="261"/>
      <c r="M39" s="269" t="s">
        <v>281</v>
      </c>
      <c r="N39" s="269"/>
      <c r="O39" s="270" t="s">
        <v>283</v>
      </c>
      <c r="P39" s="269"/>
      <c r="Q39" s="270" t="s">
        <v>282</v>
      </c>
      <c r="R39" s="271"/>
      <c r="S39" s="270" t="s">
        <v>284</v>
      </c>
      <c r="T39" s="269"/>
      <c r="U39" s="269"/>
      <c r="V39" s="259" t="s">
        <v>180</v>
      </c>
      <c r="W39" s="261"/>
      <c r="X39" s="257" t="s">
        <v>285</v>
      </c>
      <c r="Y39" s="267"/>
      <c r="Z39" s="257" t="s">
        <v>286</v>
      </c>
      <c r="AA39" s="267"/>
      <c r="AB39" s="276" t="s">
        <v>287</v>
      </c>
      <c r="AC39" s="277"/>
      <c r="AD39" s="276" t="s">
        <v>288</v>
      </c>
      <c r="AE39" s="277"/>
      <c r="AF39" s="287" t="s">
        <v>238</v>
      </c>
      <c r="AG39" s="292"/>
      <c r="AH39" s="288"/>
      <c r="AI39" s="259" t="s">
        <v>224</v>
      </c>
      <c r="AJ39" s="263"/>
      <c r="AK39" s="261"/>
      <c r="AL39" s="257" t="s">
        <v>239</v>
      </c>
      <c r="AM39" s="258"/>
      <c r="AN39" s="266"/>
      <c r="AO39" s="291" t="s">
        <v>187</v>
      </c>
      <c r="AP39" s="258"/>
      <c r="AQ39" s="257" t="s">
        <v>188</v>
      </c>
      <c r="AR39" s="258"/>
      <c r="AS39" s="257" t="s">
        <v>189</v>
      </c>
      <c r="AT39" s="258"/>
      <c r="AU39" s="257" t="s">
        <v>289</v>
      </c>
      <c r="AV39" s="258"/>
      <c r="AW39" s="257" t="s">
        <v>190</v>
      </c>
      <c r="AX39" s="258"/>
      <c r="AY39" s="257" t="s">
        <v>191</v>
      </c>
      <c r="AZ39" s="258"/>
      <c r="BA39" s="257" t="s">
        <v>303</v>
      </c>
      <c r="BB39" s="258"/>
      <c r="BC39" s="257" t="s">
        <v>296</v>
      </c>
      <c r="BD39" s="267"/>
      <c r="BE39" s="257" t="s">
        <v>227</v>
      </c>
      <c r="BF39" s="258"/>
      <c r="BG39" s="272" t="s">
        <v>225</v>
      </c>
      <c r="BH39" s="273"/>
      <c r="BI39" s="274"/>
      <c r="BJ39" s="272" t="s">
        <v>290</v>
      </c>
      <c r="BK39" s="273"/>
      <c r="BL39" s="273"/>
      <c r="BM39" s="272" t="s">
        <v>291</v>
      </c>
      <c r="BN39" s="273"/>
      <c r="BO39" s="274"/>
      <c r="BP39" s="258" t="s">
        <v>292</v>
      </c>
      <c r="BQ39" s="258"/>
      <c r="BR39" s="257" t="s">
        <v>293</v>
      </c>
      <c r="BS39" s="267"/>
      <c r="BT39" s="258" t="s">
        <v>226</v>
      </c>
      <c r="BU39" s="267"/>
      <c r="BV39" s="272" t="s">
        <v>294</v>
      </c>
      <c r="BW39" s="274"/>
      <c r="BX39" s="276" t="s">
        <v>295</v>
      </c>
      <c r="BY39" s="277"/>
      <c r="BZ39" s="290" t="s">
        <v>297</v>
      </c>
      <c r="CA39" s="290"/>
      <c r="CB39" s="290" t="s">
        <v>298</v>
      </c>
      <c r="CC39" s="290"/>
      <c r="CD39" s="276" t="s">
        <v>321</v>
      </c>
      <c r="CE39" s="289"/>
      <c r="CF39" s="49" t="s">
        <v>335</v>
      </c>
      <c r="CG39" s="44" t="s">
        <v>82</v>
      </c>
      <c r="CH39" s="276" t="s">
        <v>83</v>
      </c>
      <c r="CI39" s="283"/>
      <c r="CJ39" s="75" t="s">
        <v>84</v>
      </c>
      <c r="CK39" s="44" t="s">
        <v>66</v>
      </c>
      <c r="CL39" s="276" t="s">
        <v>123</v>
      </c>
      <c r="CM39" s="283"/>
      <c r="CN39" s="276" t="s">
        <v>81</v>
      </c>
      <c r="CO39" s="283"/>
      <c r="CP39" s="276" t="s">
        <v>80</v>
      </c>
      <c r="CQ39" s="283"/>
      <c r="CR39" s="276" t="s">
        <v>323</v>
      </c>
      <c r="CS39" s="289"/>
      <c r="CT39" s="50" t="s">
        <v>85</v>
      </c>
      <c r="CU39" s="44" t="s">
        <v>86</v>
      </c>
      <c r="CV39" s="276" t="s">
        <v>87</v>
      </c>
      <c r="CW39" s="283"/>
      <c r="CX39" s="75" t="s">
        <v>88</v>
      </c>
      <c r="CY39" s="44" t="s">
        <v>66</v>
      </c>
      <c r="CZ39" s="276" t="s">
        <v>249</v>
      </c>
      <c r="DA39" s="283"/>
      <c r="DB39" s="276" t="s">
        <v>250</v>
      </c>
      <c r="DC39" s="283"/>
      <c r="DD39" s="276" t="s">
        <v>79</v>
      </c>
      <c r="DE39" s="283"/>
      <c r="DF39" s="276" t="s">
        <v>78</v>
      </c>
      <c r="DG39" s="283"/>
      <c r="DH39" s="276" t="s">
        <v>320</v>
      </c>
      <c r="DI39" s="289"/>
      <c r="DJ39" s="50" t="s">
        <v>338</v>
      </c>
      <c r="DK39" s="44" t="s">
        <v>89</v>
      </c>
      <c r="DL39" s="276" t="s">
        <v>90</v>
      </c>
      <c r="DM39" s="283"/>
      <c r="DN39" s="75" t="s">
        <v>91</v>
      </c>
      <c r="DO39" s="44" t="s">
        <v>66</v>
      </c>
      <c r="DP39" s="276" t="s">
        <v>249</v>
      </c>
      <c r="DQ39" s="283"/>
      <c r="DR39" s="276" t="s">
        <v>251</v>
      </c>
      <c r="DS39" s="283"/>
      <c r="DT39" s="276" t="s">
        <v>252</v>
      </c>
      <c r="DU39" s="277"/>
      <c r="DV39" s="276" t="s">
        <v>300</v>
      </c>
      <c r="DW39" s="277"/>
      <c r="DX39" s="276" t="s">
        <v>76</v>
      </c>
      <c r="DY39" s="283"/>
      <c r="DZ39" s="287" t="s">
        <v>77</v>
      </c>
      <c r="EA39" s="288"/>
      <c r="EB39" s="276" t="s">
        <v>240</v>
      </c>
      <c r="EC39" s="277"/>
      <c r="ED39" s="287" t="s">
        <v>301</v>
      </c>
      <c r="EE39" s="288"/>
      <c r="EF39" s="276" t="s">
        <v>302</v>
      </c>
      <c r="EG39" s="277"/>
      <c r="EH39" s="276" t="s">
        <v>299</v>
      </c>
      <c r="EI39" s="277"/>
      <c r="EJ39" s="278" t="s">
        <v>277</v>
      </c>
      <c r="EK39" s="279"/>
      <c r="EL39" s="280" t="s">
        <v>278</v>
      </c>
      <c r="EM39" s="284"/>
      <c r="EN39" s="49" t="s">
        <v>336</v>
      </c>
      <c r="EO39" s="44" t="s">
        <v>253</v>
      </c>
      <c r="EP39" s="285" t="s">
        <v>83</v>
      </c>
      <c r="EQ39" s="286"/>
      <c r="ER39" s="75" t="s">
        <v>66</v>
      </c>
      <c r="ES39" s="44" t="s">
        <v>66</v>
      </c>
      <c r="ET39" s="276" t="s">
        <v>254</v>
      </c>
      <c r="EU39" s="283"/>
      <c r="EV39" s="276" t="s">
        <v>325</v>
      </c>
      <c r="EW39" s="283"/>
      <c r="EX39" s="277" t="s">
        <v>256</v>
      </c>
      <c r="EY39" s="277"/>
      <c r="EZ39" s="276" t="s">
        <v>324</v>
      </c>
      <c r="FA39" s="277"/>
      <c r="FB39" s="49" t="s">
        <v>337</v>
      </c>
      <c r="FC39" s="44" t="s">
        <v>255</v>
      </c>
      <c r="FD39" s="276" t="s">
        <v>87</v>
      </c>
      <c r="FE39" s="283"/>
      <c r="FF39" s="75" t="s">
        <v>66</v>
      </c>
      <c r="FG39" s="44" t="s">
        <v>66</v>
      </c>
      <c r="FH39" s="276" t="s">
        <v>258</v>
      </c>
      <c r="FI39" s="283"/>
      <c r="FJ39" s="276" t="s">
        <v>257</v>
      </c>
      <c r="FK39" s="283"/>
      <c r="FL39" s="276" t="s">
        <v>326</v>
      </c>
      <c r="FM39" s="283"/>
      <c r="FN39" s="277" t="s">
        <v>259</v>
      </c>
      <c r="FO39" s="277"/>
      <c r="FP39" s="276" t="s">
        <v>327</v>
      </c>
      <c r="FQ39" s="277"/>
      <c r="FR39" s="278" t="s">
        <v>279</v>
      </c>
      <c r="FS39" s="279"/>
      <c r="FT39" s="280" t="s">
        <v>280</v>
      </c>
      <c r="FU39" s="281"/>
      <c r="FV39" s="282" t="s">
        <v>67</v>
      </c>
      <c r="FW39" s="277"/>
      <c r="FX39" s="275" t="s">
        <v>198</v>
      </c>
      <c r="FY39" s="263"/>
      <c r="FZ39" s="261"/>
      <c r="GA39" s="257" t="s">
        <v>199</v>
      </c>
      <c r="GB39" s="258"/>
      <c r="GC39" s="267"/>
      <c r="GD39" s="258" t="s">
        <v>200</v>
      </c>
      <c r="GE39" s="258"/>
      <c r="GF39" s="258"/>
      <c r="GG39" s="257" t="s">
        <v>168</v>
      </c>
      <c r="GH39" s="258"/>
      <c r="GI39" s="258"/>
      <c r="GJ39" s="257" t="s">
        <v>169</v>
      </c>
      <c r="GK39" s="258"/>
      <c r="GL39" s="258"/>
      <c r="GM39" s="257" t="s">
        <v>241</v>
      </c>
      <c r="GN39" s="258"/>
      <c r="GO39" s="258"/>
      <c r="GP39" s="275" t="s">
        <v>156</v>
      </c>
      <c r="GQ39" s="261"/>
      <c r="GR39" s="270" t="s">
        <v>73</v>
      </c>
      <c r="GS39" s="269"/>
      <c r="GT39" s="269"/>
      <c r="GU39" s="259" t="s">
        <v>242</v>
      </c>
      <c r="GV39" s="263"/>
      <c r="GW39" s="264"/>
      <c r="GX39" s="273" t="s">
        <v>201</v>
      </c>
      <c r="GY39" s="273"/>
      <c r="GZ39" s="274"/>
      <c r="HA39" s="272" t="s">
        <v>202</v>
      </c>
      <c r="HB39" s="273"/>
      <c r="HC39" s="273"/>
      <c r="HD39" s="272" t="s">
        <v>203</v>
      </c>
      <c r="HE39" s="273"/>
      <c r="HF39" s="273"/>
      <c r="HG39" s="257" t="s">
        <v>170</v>
      </c>
      <c r="HH39" s="267"/>
      <c r="HI39" s="258" t="s">
        <v>171</v>
      </c>
      <c r="HJ39" s="267"/>
      <c r="HK39" s="257" t="s">
        <v>243</v>
      </c>
      <c r="HL39" s="258"/>
      <c r="HM39" s="258"/>
      <c r="HN39" s="268" t="s">
        <v>204</v>
      </c>
      <c r="HO39" s="269"/>
      <c r="HP39" s="271"/>
      <c r="HQ39" s="272" t="s">
        <v>205</v>
      </c>
      <c r="HR39" s="273"/>
      <c r="HS39" s="274"/>
      <c r="HT39" s="272" t="s">
        <v>206</v>
      </c>
      <c r="HU39" s="273"/>
      <c r="HV39" s="273"/>
      <c r="HW39" s="257" t="s">
        <v>172</v>
      </c>
      <c r="HX39" s="267"/>
      <c r="HY39" s="257" t="s">
        <v>173</v>
      </c>
      <c r="HZ39" s="267"/>
      <c r="IA39" s="257" t="s">
        <v>244</v>
      </c>
      <c r="IB39" s="258"/>
      <c r="IC39" s="258"/>
      <c r="ID39" s="268" t="s">
        <v>207</v>
      </c>
      <c r="IE39" s="269"/>
      <c r="IF39" s="269"/>
      <c r="IG39" s="270" t="s">
        <v>208</v>
      </c>
      <c r="IH39" s="269"/>
      <c r="II39" s="269"/>
      <c r="IJ39" s="270" t="s">
        <v>209</v>
      </c>
      <c r="IK39" s="269"/>
      <c r="IL39" s="269"/>
      <c r="IM39" s="259" t="s">
        <v>174</v>
      </c>
      <c r="IN39" s="261"/>
      <c r="IO39" s="259" t="s">
        <v>175</v>
      </c>
      <c r="IP39" s="261"/>
      <c r="IQ39" s="259" t="s">
        <v>245</v>
      </c>
      <c r="IR39" s="263"/>
      <c r="IS39" s="264"/>
      <c r="IT39" s="265" t="s">
        <v>176</v>
      </c>
      <c r="IU39" s="258"/>
      <c r="IV39" s="258"/>
      <c r="IW39" s="257" t="s">
        <v>246</v>
      </c>
      <c r="IX39" s="258"/>
      <c r="IY39" s="266"/>
      <c r="IZ39" s="258" t="s">
        <v>212</v>
      </c>
      <c r="JA39" s="258"/>
      <c r="JB39" s="257" t="s">
        <v>213</v>
      </c>
      <c r="JC39" s="267"/>
      <c r="JD39" s="258" t="s">
        <v>217</v>
      </c>
      <c r="JE39" s="258"/>
      <c r="JF39" s="257" t="s">
        <v>218</v>
      </c>
      <c r="JG39" s="258"/>
      <c r="JH39" s="259" t="s">
        <v>247</v>
      </c>
      <c r="JI39" s="260"/>
      <c r="JJ39" s="259" t="s">
        <v>214</v>
      </c>
      <c r="JK39" s="261"/>
      <c r="JL39" s="255" t="s">
        <v>215</v>
      </c>
      <c r="JM39" s="255"/>
      <c r="JN39" s="262" t="s">
        <v>216</v>
      </c>
      <c r="JO39" s="261"/>
      <c r="JP39" s="255" t="s">
        <v>219</v>
      </c>
      <c r="JQ39" s="255"/>
      <c r="JR39" s="255" t="s">
        <v>220</v>
      </c>
      <c r="JS39" s="255"/>
      <c r="JT39" s="255" t="s">
        <v>221</v>
      </c>
      <c r="JU39" s="255"/>
      <c r="JV39" s="255" t="s">
        <v>222</v>
      </c>
      <c r="JW39" s="255"/>
      <c r="JX39" s="255" t="s">
        <v>248</v>
      </c>
      <c r="JY39" s="256"/>
    </row>
    <row r="40" spans="1:350" ht="15.75" thickBot="1">
      <c r="A40" s="188">
        <f>AQ26</f>
        <v>40.341306517716326</v>
      </c>
      <c r="B40" s="188"/>
      <c r="C40" s="247">
        <f>IF(DB26&gt;DG26,(DG26-AA26),(DB26-AA26))</f>
        <v>0.90000000000000036</v>
      </c>
      <c r="D40" s="188"/>
      <c r="E40" s="251">
        <f>A40*C40</f>
        <v>36.307175865944707</v>
      </c>
      <c r="F40" s="254"/>
      <c r="G40" s="247">
        <f>IF(DB26&gt;DG26,(((DJ26-AA26)/2)+(AA26-CM26)),(((DB26-AA26)/2)+(AA26-CM26)))</f>
        <v>5.3</v>
      </c>
      <c r="H40" s="250"/>
      <c r="I40" s="226">
        <f>E40*G40</f>
        <v>192.42803208950693</v>
      </c>
      <c r="J40" s="221"/>
      <c r="K40" s="228">
        <f>AX26</f>
        <v>26.932190147601386</v>
      </c>
      <c r="L40" s="225"/>
      <c r="M40" s="169">
        <f>(AA26-CM26)</f>
        <v>4.8499999999999996</v>
      </c>
      <c r="N40" s="169"/>
      <c r="O40" s="168">
        <f>(CM26-BY26)</f>
        <v>0.5</v>
      </c>
      <c r="P40" s="169"/>
      <c r="Q40" s="226">
        <f>K40*M40</f>
        <v>130.62112221586671</v>
      </c>
      <c r="R40" s="142"/>
      <c r="S40" s="226">
        <f>K40*O40</f>
        <v>13.466095073800693</v>
      </c>
      <c r="T40" s="221"/>
      <c r="U40" s="221"/>
      <c r="V40" s="251">
        <f>Q40+S40</f>
        <v>144.08721728966739</v>
      </c>
      <c r="W40" s="254"/>
      <c r="X40" s="247">
        <f>(AA26-CM26)/2</f>
        <v>2.4249999999999998</v>
      </c>
      <c r="Y40" s="250"/>
      <c r="Z40" s="247">
        <f>(CM26-BY26)/2</f>
        <v>0.25</v>
      </c>
      <c r="AA40" s="250"/>
      <c r="AB40" s="251">
        <f>Q40*X40</f>
        <v>316.75622137347676</v>
      </c>
      <c r="AC40" s="252"/>
      <c r="AD40" s="251">
        <f>S40*Z40</f>
        <v>3.3665237684501732</v>
      </c>
      <c r="AE40" s="252"/>
      <c r="AF40" s="226">
        <f>AB40-AD40</f>
        <v>313.38969760502658</v>
      </c>
      <c r="AG40" s="221"/>
      <c r="AH40" s="142"/>
      <c r="AI40" s="226">
        <f>E40+V40</f>
        <v>180.39439315561211</v>
      </c>
      <c r="AJ40" s="221"/>
      <c r="AK40" s="142"/>
      <c r="AL40" s="251">
        <f>I40+AF40</f>
        <v>505.81772969453351</v>
      </c>
      <c r="AM40" s="252"/>
      <c r="AN40" s="253"/>
      <c r="AO40" s="249">
        <f>BH29</f>
        <v>-3.629255378247365E-15</v>
      </c>
      <c r="AP40" s="169"/>
      <c r="AQ40" s="168">
        <f>IF(DB26&gt;DG26,BH30,0)</f>
        <v>0.45629556425552159</v>
      </c>
      <c r="AR40" s="169"/>
      <c r="AS40" s="168">
        <f>BH27</f>
        <v>23.951820744847122</v>
      </c>
      <c r="AT40" s="169"/>
      <c r="AU40" s="168">
        <f>BH26</f>
        <v>25.994909890985525</v>
      </c>
      <c r="AV40" s="169"/>
      <c r="AW40" s="247">
        <f>IF(DB26&gt;DG26,(DB26-DJ26),0)</f>
        <v>0.11166805058848261</v>
      </c>
      <c r="AX40" s="188"/>
      <c r="AY40" s="247">
        <f>IF(DB26&gt;DJ26,(DJ26-CM26),(DB26-CM26))</f>
        <v>5.75</v>
      </c>
      <c r="AZ40" s="188"/>
      <c r="BA40" s="247">
        <f>CM26-BY26</f>
        <v>0.5</v>
      </c>
      <c r="BB40" s="188"/>
      <c r="BC40" s="168">
        <f>IF(DG26&gt;DB26,(((AQ40-AO40)*AW40)/2),0)</f>
        <v>0</v>
      </c>
      <c r="BD40" s="225"/>
      <c r="BE40" s="248">
        <f>AQ40*AY40</f>
        <v>2.6236994944692493</v>
      </c>
      <c r="BF40" s="235"/>
      <c r="BG40" s="168">
        <f>SUM(BE40:BF41)</f>
        <v>70.173334388670099</v>
      </c>
      <c r="BH40" s="169"/>
      <c r="BI40" s="169"/>
      <c r="BJ40" s="236">
        <f>AQ40*BA40</f>
        <v>0.2281477821277608</v>
      </c>
      <c r="BK40" s="236"/>
      <c r="BL40" s="236"/>
      <c r="BM40" s="169">
        <f>SUM(BJ40:BL42)</f>
        <v>12.486682658958163</v>
      </c>
      <c r="BN40" s="169"/>
      <c r="BO40" s="225"/>
      <c r="BP40" s="226">
        <f>BC40+BG40+BM40</f>
        <v>82.660017047628259</v>
      </c>
      <c r="BQ40" s="142"/>
      <c r="BR40" s="168">
        <f>IF(DB26&gt;DG26,((DB26-DG26)*(1/3))+(DG26-CD26),0)</f>
        <v>5.7872226835294942</v>
      </c>
      <c r="BS40" s="225"/>
      <c r="BT40" s="237">
        <f>IF(DB26&gt;DG26,(DJ26-CM26)*(1/2),0)</f>
        <v>2.875</v>
      </c>
      <c r="BU40" s="246"/>
      <c r="BV40" s="236">
        <f>(CD26-BY26)*(1/2)</f>
        <v>0.25</v>
      </c>
      <c r="BW40" s="236"/>
      <c r="BX40" s="226">
        <f>BR40*BC40</f>
        <v>0</v>
      </c>
      <c r="BY40" s="221"/>
      <c r="BZ40" s="242">
        <f>BT40*BE40</f>
        <v>7.5431360465990922</v>
      </c>
      <c r="CA40" s="239"/>
      <c r="CB40" s="242">
        <f>BV40*BJ40</f>
        <v>5.7036945531940199E-2</v>
      </c>
      <c r="CC40" s="239"/>
      <c r="CD40" s="226">
        <f>BX40+(SUM(BZ40:CA41))-(SUM(CB40:CC42))</f>
        <v>133.84903457186664</v>
      </c>
      <c r="CE40" s="244"/>
      <c r="CF40" s="72">
        <v>40</v>
      </c>
      <c r="CG40" s="73">
        <f>(1-SIN(CF40*PI()/180))/(1+SIN(CF40*PI()/180))</f>
        <v>0.21744283205399909</v>
      </c>
      <c r="CH40" s="231">
        <v>18</v>
      </c>
      <c r="CI40" s="232"/>
      <c r="CJ40" s="74">
        <f>CW26-EQ26</f>
        <v>2.9000000000000004</v>
      </c>
      <c r="CK40" s="34">
        <f>CW26-CW26</f>
        <v>0</v>
      </c>
      <c r="CL40" s="233">
        <f>(1/2)*CG40*CH40*(CK40^2)</f>
        <v>0</v>
      </c>
      <c r="CM40" s="245"/>
      <c r="CN40" s="168">
        <f>CL41</f>
        <v>16.458247958167195</v>
      </c>
      <c r="CO40" s="225"/>
      <c r="CP40" s="169">
        <f>((CW26-EQ26)*(1/3))+(ET26-CD26)</f>
        <v>2.9166666666666661</v>
      </c>
      <c r="CQ40" s="169"/>
      <c r="CR40" s="226">
        <f>CP40*CN40</f>
        <v>48.003223211320979</v>
      </c>
      <c r="CS40" s="244"/>
      <c r="CT40" s="78">
        <v>40</v>
      </c>
      <c r="CU40" s="73">
        <f>(1-SIN(CT40*PI()/180))/(1+SIN(CT40*PI()/180))</f>
        <v>0.21744283205399909</v>
      </c>
      <c r="CV40" s="231">
        <v>18</v>
      </c>
      <c r="CW40" s="232"/>
      <c r="CX40" s="74">
        <f>(ET26-EZ26)</f>
        <v>1.4</v>
      </c>
      <c r="CY40" s="77">
        <v>0</v>
      </c>
      <c r="CZ40" s="233">
        <f>CU40*CH40*CJ40*CX40</f>
        <v>15.890722166506254</v>
      </c>
      <c r="DA40" s="245"/>
      <c r="DB40" s="234">
        <f>(1/2)*CU40*CV40*(CY40^2)</f>
        <v>0</v>
      </c>
      <c r="DC40" s="234"/>
      <c r="DD40" s="168">
        <f>CZ41+DB41</f>
        <v>19.726413723938798</v>
      </c>
      <c r="DE40" s="225"/>
      <c r="DF40" s="235">
        <f>((ET26-EZ26)*(1/2))+(EZ26-CM26)</f>
        <v>1.2499999999999993</v>
      </c>
      <c r="DG40" s="235"/>
      <c r="DH40" s="168">
        <f>(DF40*CZ41)+(DB41*DF41)</f>
        <v>23.763022458189223</v>
      </c>
      <c r="DI40" s="238"/>
      <c r="DJ40" s="78">
        <v>40</v>
      </c>
      <c r="DK40" s="73">
        <f>(1-SIN(DJ40*PI()/180))/(1+SIN(DJ40*PI()/180))</f>
        <v>0.21744283205399909</v>
      </c>
      <c r="DL40" s="231">
        <v>18</v>
      </c>
      <c r="DM40" s="232"/>
      <c r="DN40" s="74">
        <f>(FC26-BY26)</f>
        <v>1.0499999999999994</v>
      </c>
      <c r="DO40" s="34">
        <v>0</v>
      </c>
      <c r="DP40" s="239">
        <f>DK40*CH40*CJ40*(DO41-DO40)</f>
        <v>6.2427837082703075</v>
      </c>
      <c r="DQ40" s="240"/>
      <c r="DR40" s="239">
        <f>DK40*CV40*CX40*(DO41-DO40)</f>
        <v>3.0137576522684237</v>
      </c>
      <c r="DS40" s="240"/>
      <c r="DT40" s="239">
        <f>(1/2)*DK40*DL40*(DO41^2)</f>
        <v>0.59198811026701126</v>
      </c>
      <c r="DU40" s="241"/>
      <c r="DV40" s="242">
        <f>DK40*CH40*CJ40*(DO42-DO41)</f>
        <v>5.6752579166093771</v>
      </c>
      <c r="DW40" s="243"/>
      <c r="DX40" s="168">
        <f>SUM(DP41:DQ42)+SUM(DR41:DS42)+(DT42+DV42)+DV43</f>
        <v>19.829155462084298</v>
      </c>
      <c r="DY40" s="169"/>
      <c r="DZ40" s="236">
        <f>(FC26-CM26)/2</f>
        <v>0.27499999999999969</v>
      </c>
      <c r="EA40" s="237"/>
      <c r="EB40" s="168">
        <f>(DZ40*DP41)+(DZ41*DR41)+(DZ42*DT42)</f>
        <v>2.6540800276971002</v>
      </c>
      <c r="EC40" s="169"/>
      <c r="ED40" s="236">
        <f>(CM26-BY26)/2</f>
        <v>0.25</v>
      </c>
      <c r="EE40" s="236"/>
      <c r="EF40" s="168">
        <f>(ED40*DP42)+(ED41*DR42)+(ED42*DV42)+(ED43*DV43)</f>
        <v>2.535927028829764</v>
      </c>
      <c r="EG40" s="169"/>
      <c r="EH40" s="168">
        <f>EB40-EF40</f>
        <v>0.11815299886733621</v>
      </c>
      <c r="EI40" s="169"/>
      <c r="EJ40" s="173">
        <f>CN40+DD40+DX40</f>
        <v>56.013817144190298</v>
      </c>
      <c r="EK40" s="174"/>
      <c r="EL40" s="172">
        <f>CR40+DH40+EH40</f>
        <v>71.884398668377528</v>
      </c>
      <c r="EM40" s="171"/>
      <c r="EN40" s="72"/>
      <c r="EO40" s="73">
        <f>(1+SIN(EN40*PI()/180))/(1-SIN(EN40*PI()/180))</f>
        <v>1</v>
      </c>
      <c r="EP40" s="231"/>
      <c r="EQ40" s="232"/>
      <c r="ER40" s="74">
        <f>(FJ26-CM26)</f>
        <v>0</v>
      </c>
      <c r="ES40" s="34">
        <v>0</v>
      </c>
      <c r="ET40" s="233">
        <f>(1/2)*EO40*EP40*(ES40^2)</f>
        <v>0</v>
      </c>
      <c r="EU40" s="234"/>
      <c r="EV40" s="226">
        <f>ET41</f>
        <v>0</v>
      </c>
      <c r="EW40" s="142"/>
      <c r="EX40" s="169">
        <f>(FJ26-CM26)*(1/3)</f>
        <v>0</v>
      </c>
      <c r="EY40" s="169"/>
      <c r="EZ40" s="226">
        <f>EX40*EV40</f>
        <v>0</v>
      </c>
      <c r="FA40" s="221"/>
      <c r="FB40" s="72"/>
      <c r="FC40" s="73">
        <f>(1+SIN(FB40*PI()/180))/(1-SIN(FB40*PI()/180))</f>
        <v>1</v>
      </c>
      <c r="FD40" s="231"/>
      <c r="FE40" s="232"/>
      <c r="FF40" s="74">
        <f>(FS26-BY26)</f>
        <v>0.5</v>
      </c>
      <c r="FG40" s="34">
        <v>0</v>
      </c>
      <c r="FH40" s="233">
        <f>FC40*EP40*ER40*FF40</f>
        <v>0</v>
      </c>
      <c r="FI40" s="234"/>
      <c r="FJ40" s="233">
        <f>(1/2)*FC40*FD40*(FG40^2)</f>
        <v>0</v>
      </c>
      <c r="FK40" s="234"/>
      <c r="FL40" s="168">
        <f>FH41+FJ41</f>
        <v>0</v>
      </c>
      <c r="FM40" s="225"/>
      <c r="FN40" s="235">
        <f>(CD26-BY26)/2</f>
        <v>0.25</v>
      </c>
      <c r="FO40" s="235"/>
      <c r="FP40" s="168">
        <f>(FN40*FH41)+(FJ41*FN41)</f>
        <v>0</v>
      </c>
      <c r="FQ40" s="169"/>
      <c r="FR40" s="170">
        <f>EV40+FL40</f>
        <v>0</v>
      </c>
      <c r="FS40" s="171"/>
      <c r="FT40" s="172">
        <f>EZ40-FP40</f>
        <v>0</v>
      </c>
      <c r="FU40" s="171"/>
      <c r="FV40" s="229">
        <v>24</v>
      </c>
      <c r="FW40" s="230"/>
      <c r="FX40" s="228">
        <f>(MIN(CG26:CL26)*CB26)*FV40</f>
        <v>14.399999999999999</v>
      </c>
      <c r="FY40" s="169"/>
      <c r="FZ40" s="225"/>
      <c r="GA40" s="168">
        <f>(((MAX(CG26:CL26)-MIN(CG26:CL26))*CB26)/2)*FV40</f>
        <v>3.3000000000000003</v>
      </c>
      <c r="GB40" s="169"/>
      <c r="GC40" s="225"/>
      <c r="GD40" s="221">
        <f>FX40+GA40</f>
        <v>17.7</v>
      </c>
      <c r="GE40" s="221"/>
      <c r="GF40" s="221"/>
      <c r="GG40" s="168">
        <f>CO26-(MIN(CG26:CL26)/2)</f>
        <v>4.4000000000000004</v>
      </c>
      <c r="GH40" s="169"/>
      <c r="GI40" s="169"/>
      <c r="GJ40" s="168">
        <f>CO26-(MIN(CG26:CL26)+((MAX(CG26:CL26)-MIN(CG26:CL26))*(1/3)))</f>
        <v>3.6166666666666667</v>
      </c>
      <c r="GK40" s="169"/>
      <c r="GL40" s="225"/>
      <c r="GM40" s="221">
        <f>(FX40*GG40)+(GJ40*GA40)</f>
        <v>75.295000000000002</v>
      </c>
      <c r="GN40" s="221"/>
      <c r="GO40" s="221"/>
      <c r="GP40" s="228">
        <f>((CS26-CM26)*CO26)*FV40</f>
        <v>330</v>
      </c>
      <c r="GQ40" s="225"/>
      <c r="GR40" s="168">
        <f>CO26/2</f>
        <v>2.5</v>
      </c>
      <c r="GS40" s="169"/>
      <c r="GT40" s="225"/>
      <c r="GU40" s="226">
        <f>GP40*GR40</f>
        <v>825</v>
      </c>
      <c r="GV40" s="221"/>
      <c r="GW40" s="227"/>
      <c r="GX40" s="169">
        <f>(MIN(DP26:DS26)*DL26)*FV40</f>
        <v>126</v>
      </c>
      <c r="GY40" s="169"/>
      <c r="GZ40" s="225"/>
      <c r="HA40" s="168">
        <f>(((MAX(DP26:DS26)-MIN(DP26:DS26))*DL26)/2)*FV40</f>
        <v>27</v>
      </c>
      <c r="HB40" s="169"/>
      <c r="HC40" s="169"/>
      <c r="HD40" s="226">
        <f>GX40+HA40</f>
        <v>153</v>
      </c>
      <c r="HE40" s="221"/>
      <c r="HF40" s="221"/>
      <c r="HG40" s="168">
        <f>CO26-(MIN(DP26:DS26)/2)</f>
        <v>4.125</v>
      </c>
      <c r="HH40" s="225"/>
      <c r="HI40" s="168">
        <f>CO26-(MIN(DP26:DS26)+((MAX(DP26:DS26)-MIN(DP26:DS26))*(1/3)))</f>
        <v>3</v>
      </c>
      <c r="HJ40" s="225"/>
      <c r="HK40" s="218">
        <f>(GX40*HG40)+(HA40*HI40)</f>
        <v>600.75</v>
      </c>
      <c r="HL40" s="218"/>
      <c r="HM40" s="218"/>
      <c r="HN40" s="224">
        <f>(MIN(DZ26:EC26)*DV26)*FV40</f>
        <v>0</v>
      </c>
      <c r="HO40" s="223"/>
      <c r="HP40" s="216"/>
      <c r="HQ40" s="211">
        <f>(((MAX(DZ26:EC26)-MIN(DZ26:EC26))*DV26)/2)*FV40</f>
        <v>0</v>
      </c>
      <c r="HR40" s="223"/>
      <c r="HS40" s="216"/>
      <c r="HT40" s="213">
        <f>HN40+HQ40</f>
        <v>0</v>
      </c>
      <c r="HU40" s="218"/>
      <c r="HV40" s="218"/>
      <c r="HW40" s="168">
        <f>CO26-(MIN(DZ26:EC26)/2)</f>
        <v>5</v>
      </c>
      <c r="HX40" s="225"/>
      <c r="HY40" s="168">
        <f>CO26-(MIN(DZ26:EC26)+((MAX(DZ26:EC26)-MIN(DZ26:EC26))*(2/3)))</f>
        <v>5</v>
      </c>
      <c r="HZ40" s="169"/>
      <c r="IA40" s="213">
        <f>(HN40*HW40)+(HQ40*HY40)</f>
        <v>0</v>
      </c>
      <c r="IB40" s="218"/>
      <c r="IC40" s="218"/>
      <c r="ID40" s="224">
        <f>(MIN(EJ26:EM26)*EF26)*FV40</f>
        <v>0</v>
      </c>
      <c r="IE40" s="223"/>
      <c r="IF40" s="223"/>
      <c r="IG40" s="211">
        <f>(((MAX(EJ26:EM26)-MIN(EJ26:EM26))*EF26)/2)*FV40</f>
        <v>0</v>
      </c>
      <c r="IH40" s="223"/>
      <c r="II40" s="223"/>
      <c r="IJ40" s="213">
        <f>ID40+IG40</f>
        <v>0</v>
      </c>
      <c r="IK40" s="218"/>
      <c r="IL40" s="218"/>
      <c r="IM40" s="168">
        <f>CO26-(MIN(EJ26:EM26)/2)</f>
        <v>5</v>
      </c>
      <c r="IN40" s="225"/>
      <c r="IO40" s="168">
        <f>CO26-(MIN(EJ26:EM26)+((MAX(EJ26:EM26)-MIN(EJ26:EM26))*(2/3)))</f>
        <v>5</v>
      </c>
      <c r="IP40" s="169"/>
      <c r="IQ40" s="213">
        <f>(ID40*IM40)+(IG40*IO40)</f>
        <v>0</v>
      </c>
      <c r="IR40" s="218"/>
      <c r="IS40" s="219"/>
      <c r="IT40" s="220">
        <f>GD40+GP40+HD40+HT40+IJ40</f>
        <v>500.7</v>
      </c>
      <c r="IU40" s="221"/>
      <c r="IV40" s="221"/>
      <c r="IW40" s="213">
        <f>GM40+GU40+HK40+IA40+IQ40</f>
        <v>1501.0450000000001</v>
      </c>
      <c r="IX40" s="218"/>
      <c r="IY40" s="222"/>
      <c r="IZ40" s="223">
        <f>BI26</f>
        <v>26.932190147601389</v>
      </c>
      <c r="JA40" s="223"/>
      <c r="JB40" s="211">
        <f>BN26</f>
        <v>0</v>
      </c>
      <c r="JC40" s="216"/>
      <c r="JD40" s="223">
        <f>((IZ40-JB40)*CO26)/2</f>
        <v>67.330475369003466</v>
      </c>
      <c r="JE40" s="223"/>
      <c r="JF40" s="211">
        <f>CO26*(2/3)</f>
        <v>3.333333333333333</v>
      </c>
      <c r="JG40" s="212"/>
      <c r="JH40" s="213">
        <f>JD40*JF40</f>
        <v>224.4349178966782</v>
      </c>
      <c r="JI40" s="214"/>
      <c r="JJ40" s="215">
        <f>BL26</f>
        <v>25.994909890985525</v>
      </c>
      <c r="JK40" s="216"/>
      <c r="JL40" s="203">
        <f>BW26</f>
        <v>10.397963956394211</v>
      </c>
      <c r="JM40" s="217"/>
      <c r="JN40" s="215">
        <f>((JJ40-JL40)*CO26)/2</f>
        <v>38.992364836478288</v>
      </c>
      <c r="JO40" s="216"/>
      <c r="JP40" s="203">
        <f>JL40*CO26</f>
        <v>51.98981978197105</v>
      </c>
      <c r="JQ40" s="204"/>
      <c r="JR40" s="201">
        <f>JN40+JP40</f>
        <v>90.982184618449338</v>
      </c>
      <c r="JS40" s="202"/>
      <c r="JT40" s="203">
        <f>CO26*(2/3)</f>
        <v>3.333333333333333</v>
      </c>
      <c r="JU40" s="204"/>
      <c r="JV40" s="203">
        <f>CO26/2</f>
        <v>2.5</v>
      </c>
      <c r="JW40" s="203"/>
      <c r="JX40" s="201">
        <f>(JN40*JT40)+(JP40*JV40)</f>
        <v>259.94909890985525</v>
      </c>
      <c r="JY40" s="205"/>
    </row>
    <row r="41" spans="1:350" ht="15.75" thickBot="1">
      <c r="E41" s="63"/>
      <c r="G41" s="63"/>
      <c r="M41" s="6"/>
      <c r="Q41" s="63"/>
      <c r="S41" s="63"/>
      <c r="V41" s="63"/>
      <c r="X41" s="63"/>
      <c r="AX41" s="64"/>
      <c r="AY41" s="64"/>
      <c r="BC41" s="63"/>
      <c r="BE41" s="164">
        <f>(((AS40-AQ40)*AY40)/2)</f>
        <v>67.54963489420085</v>
      </c>
      <c r="BF41" s="206"/>
      <c r="BG41" s="100"/>
      <c r="BH41" s="48"/>
      <c r="BJ41" s="207">
        <f>(AS40-AQ40)*BA40</f>
        <v>11.7477625902958</v>
      </c>
      <c r="BK41" s="208"/>
      <c r="BL41" s="209"/>
      <c r="BP41" s="61"/>
      <c r="BQ41" s="46"/>
      <c r="BR41" s="63"/>
      <c r="BS41" s="46"/>
      <c r="BT41" s="164">
        <f>IF(DB26&gt;DG26,((DJ26-CM26)*(1/3)),((DB26-CM26)*(1/3)))</f>
        <v>1.9166666666666665</v>
      </c>
      <c r="BU41" s="206"/>
      <c r="BV41" s="210">
        <f>(CD26-BY26)*(1/2)</f>
        <v>0.25</v>
      </c>
      <c r="BW41" s="198"/>
      <c r="BX41" s="63"/>
      <c r="BY41" s="63"/>
      <c r="BZ41" s="156">
        <f>BT41*BE41</f>
        <v>129.4701335472183</v>
      </c>
      <c r="CA41" s="160"/>
      <c r="CB41" s="195">
        <f>BV41*BJ41</f>
        <v>2.9369406475739499</v>
      </c>
      <c r="CC41" s="196"/>
      <c r="CD41" s="63"/>
      <c r="CE41" s="63"/>
      <c r="CK41" s="35">
        <f>CW26-EQ26</f>
        <v>2.9000000000000004</v>
      </c>
      <c r="CL41" s="160">
        <f>(1/2)*CG40*CH40*(CK41^2)</f>
        <v>16.458247958167195</v>
      </c>
      <c r="CM41" s="163"/>
      <c r="CY41" s="35">
        <f>CX40</f>
        <v>1.4</v>
      </c>
      <c r="CZ41" s="160">
        <f>CU40*CH40*CJ40*CX40</f>
        <v>15.890722166506254</v>
      </c>
      <c r="DA41" s="161"/>
      <c r="DB41" s="162">
        <f>(1/2)*CU40*CV40*(CY41^2)</f>
        <v>3.8356915574325434</v>
      </c>
      <c r="DC41" s="163"/>
      <c r="DD41" s="43"/>
      <c r="DE41" s="43"/>
      <c r="DF41" s="164">
        <f>((ET26-EZ26)*(1/3))+(EZ26-CM26)</f>
        <v>1.0166666666666659</v>
      </c>
      <c r="DG41" s="165"/>
      <c r="DO41" s="101">
        <f>(FC26-CM26)</f>
        <v>0.54999999999999938</v>
      </c>
      <c r="DP41" s="166">
        <f>DK40*CH40*CJ40*(DO41-DO40)</f>
        <v>6.2427837082703075</v>
      </c>
      <c r="DQ41" s="167"/>
      <c r="DR41" s="166">
        <f>DK40*CV40*CX40*(DO41-DO40)</f>
        <v>3.0137576522684237</v>
      </c>
      <c r="DS41" s="167"/>
      <c r="DT41" s="166">
        <f>(1/2)*DK40*DL40*(DO41^2)</f>
        <v>0.59198811026701126</v>
      </c>
      <c r="DU41" s="194"/>
      <c r="DV41" s="195">
        <f>DK40*CV40*CX40*(DO42-DO41)</f>
        <v>2.7397796838803883</v>
      </c>
      <c r="DW41" s="196"/>
      <c r="DZ41" s="197">
        <f>(FC26-CM26)/2</f>
        <v>0.27499999999999969</v>
      </c>
      <c r="EA41" s="198"/>
      <c r="ED41" s="197">
        <f>(CM26-BY26)/2</f>
        <v>0.25</v>
      </c>
      <c r="EE41" s="198"/>
      <c r="EJ41" s="185" t="s">
        <v>178</v>
      </c>
      <c r="EK41" s="185"/>
      <c r="EL41" s="185"/>
      <c r="EM41" s="185"/>
      <c r="EP41" s="87"/>
      <c r="EQ41" s="87"/>
      <c r="ER41" s="87"/>
      <c r="ES41" s="35">
        <f>ER40</f>
        <v>0</v>
      </c>
      <c r="ET41" s="160">
        <f>(1/2)*EO40*EP40*(ES41^2)</f>
        <v>0</v>
      </c>
      <c r="EU41" s="163"/>
      <c r="EV41" s="87"/>
      <c r="EW41" s="87"/>
      <c r="EX41" s="87"/>
      <c r="EY41" s="87"/>
      <c r="EZ41" s="87"/>
      <c r="FA41" s="87"/>
      <c r="FB41" s="45"/>
      <c r="FC41" s="87"/>
      <c r="FD41" s="87"/>
      <c r="FE41" s="87"/>
      <c r="FF41" s="87"/>
      <c r="FG41" s="35">
        <f>FF40</f>
        <v>0.5</v>
      </c>
      <c r="FH41" s="160">
        <f>FC40*EP40*ER40*FF40</f>
        <v>0</v>
      </c>
      <c r="FI41" s="162"/>
      <c r="FJ41" s="160">
        <f>(1/2)*FC40*FD40*(FG41^2)</f>
        <v>0</v>
      </c>
      <c r="FK41" s="163"/>
      <c r="FL41" s="87"/>
      <c r="FM41" s="87"/>
      <c r="FN41" s="164">
        <f>(CD26-BY26)*(2/3)</f>
        <v>0.33333333333333331</v>
      </c>
      <c r="FO41" s="165"/>
      <c r="FP41" s="87"/>
      <c r="FQ41" s="87"/>
      <c r="FR41" s="185" t="s">
        <v>178</v>
      </c>
      <c r="FS41" s="185"/>
      <c r="FT41" s="185"/>
      <c r="FU41" s="185"/>
      <c r="GD41" s="61"/>
      <c r="GF41" s="61"/>
      <c r="HD41" s="62"/>
      <c r="HT41" s="61"/>
      <c r="HV41" s="6"/>
      <c r="IJ41" s="62"/>
      <c r="JD41" s="62"/>
      <c r="JN41" s="62"/>
      <c r="JP41" s="62"/>
      <c r="JR41" s="62"/>
    </row>
    <row r="42" spans="1:350" ht="15.75" thickBot="1">
      <c r="BE42" s="64"/>
      <c r="BF42" s="6"/>
      <c r="BJ42" s="187">
        <f>((AU40-AS40)*BA40)/2</f>
        <v>0.51077228653460072</v>
      </c>
      <c r="BK42" s="188"/>
      <c r="BL42" s="189"/>
      <c r="BT42" s="63"/>
      <c r="BU42" s="46"/>
      <c r="BV42" s="158">
        <f>(CD26-BY26)*(2/3)</f>
        <v>0.33333333333333331</v>
      </c>
      <c r="BW42" s="159"/>
      <c r="CB42" s="190">
        <f>BV42*BJ42</f>
        <v>0.17025742884486689</v>
      </c>
      <c r="CC42" s="191"/>
      <c r="DO42" s="35">
        <f>DN40</f>
        <v>1.0499999999999994</v>
      </c>
      <c r="DP42" s="192">
        <f>DK40*CH40*CJ40*(DO42-DO41)</f>
        <v>5.6752579166093771</v>
      </c>
      <c r="DQ42" s="193"/>
      <c r="DR42" s="160">
        <f>DK40*CV40*CX40*(DO42-DO41)</f>
        <v>2.7397796838803883</v>
      </c>
      <c r="DS42" s="161"/>
      <c r="DT42" s="160">
        <f>(1/2)*DK40*DL40*(DO41^2)</f>
        <v>0.59198811026701126</v>
      </c>
      <c r="DU42" s="162"/>
      <c r="DV42" s="199">
        <f>DK40*DL40*(DO41-DO40)*(DO42-DO41)</f>
        <v>1.0763420186672943</v>
      </c>
      <c r="DW42" s="200"/>
      <c r="DZ42" s="158">
        <f>(FC26-CM26)*(1/3)</f>
        <v>0.18333333333333313</v>
      </c>
      <c r="EA42" s="159"/>
      <c r="ED42" s="197">
        <f>(CM26-BY26)/2</f>
        <v>0.25</v>
      </c>
      <c r="EE42" s="198"/>
      <c r="EJ42" s="186"/>
      <c r="EK42" s="186"/>
      <c r="EL42" s="186"/>
      <c r="EM42" s="186"/>
      <c r="FR42" s="186"/>
      <c r="FS42" s="186"/>
      <c r="FT42" s="186"/>
      <c r="FU42" s="186"/>
      <c r="MA42" s="87"/>
      <c r="MB42" s="87"/>
      <c r="MC42" s="87"/>
      <c r="MD42" s="87"/>
      <c r="ME42" s="87"/>
      <c r="MF42" s="87"/>
      <c r="MG42" s="87"/>
      <c r="MH42" s="87"/>
      <c r="MI42" s="87"/>
      <c r="MJ42" s="87"/>
      <c r="MK42" s="87"/>
      <c r="ML42" s="87"/>
    </row>
    <row r="43" spans="1:350" ht="15.75" thickBot="1">
      <c r="BE43" s="63"/>
      <c r="BJ43" s="64"/>
      <c r="BK43" s="6"/>
      <c r="BT43" s="63"/>
      <c r="BU43" s="48"/>
      <c r="BV43" s="63"/>
      <c r="BW43" s="46"/>
      <c r="DV43" s="156">
        <f>(1/2)*DK40*DL40*(DO42-DO41)^2</f>
        <v>0.48924637212149796</v>
      </c>
      <c r="DW43" s="157"/>
      <c r="ED43" s="158">
        <f>(CM26-BY26)*(2/3)</f>
        <v>0.33333333333333331</v>
      </c>
      <c r="EE43" s="159"/>
      <c r="EM43" s="6"/>
      <c r="FX43" s="6"/>
      <c r="MA43" s="87"/>
      <c r="MB43" s="87"/>
      <c r="MC43" s="87"/>
      <c r="MD43" s="87"/>
      <c r="ME43" s="87"/>
      <c r="MF43" s="87"/>
      <c r="MG43" s="87"/>
      <c r="MH43" s="87"/>
      <c r="MI43" s="87"/>
      <c r="MJ43" s="87"/>
      <c r="MK43" s="87"/>
      <c r="ML43" s="87"/>
    </row>
    <row r="44" spans="1:350">
      <c r="BJ44" s="64"/>
      <c r="BK44" s="6"/>
      <c r="JV44" s="6"/>
    </row>
    <row r="45" spans="1:350">
      <c r="BJ45" s="63"/>
      <c r="CB45" s="6"/>
      <c r="IN45" s="6"/>
    </row>
    <row r="50" spans="1:42" ht="15.75" thickBot="1">
      <c r="F50" s="184" t="str">
        <f>IF(G54="Não verifica","Aumenta o peso da estrutura","")</f>
        <v/>
      </c>
      <c r="G50" s="184"/>
      <c r="H50" s="184"/>
      <c r="O50" s="184" t="str">
        <f>IF(P54="Não verifica","Aumenta o peso da estrutura","")</f>
        <v/>
      </c>
      <c r="P50" s="184"/>
      <c r="Q50" s="184"/>
      <c r="AA50" s="184" t="str">
        <f>IF(AB54="Não verifica","Aumenta o peso da estrutura","")</f>
        <v/>
      </c>
      <c r="AB50" s="184"/>
      <c r="AC50" s="184"/>
      <c r="AK50" s="184" t="str">
        <f>IF(AL54="Não verifica","Aumenta o peso da estrutura","")</f>
        <v/>
      </c>
      <c r="AL50" s="184"/>
      <c r="AM50" s="184"/>
    </row>
    <row r="51" spans="1:42" ht="16.5" thickBot="1">
      <c r="A51" s="138" t="s">
        <v>272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83" t="s">
        <v>273</v>
      </c>
      <c r="M51" s="139"/>
      <c r="N51" s="139"/>
      <c r="O51" s="139"/>
      <c r="P51" s="139"/>
      <c r="Q51" s="139"/>
      <c r="R51" s="139"/>
      <c r="S51" s="139"/>
      <c r="T51" s="139"/>
      <c r="U51" s="140"/>
      <c r="V51" s="138" t="s">
        <v>271</v>
      </c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83" t="s">
        <v>270</v>
      </c>
      <c r="AH51" s="139"/>
      <c r="AI51" s="139"/>
      <c r="AJ51" s="139"/>
      <c r="AK51" s="139"/>
      <c r="AL51" s="139"/>
      <c r="AM51" s="139"/>
      <c r="AN51" s="139"/>
      <c r="AO51" s="139"/>
      <c r="AP51" s="140"/>
    </row>
    <row r="52" spans="1:42" ht="15.75" customHeight="1" thickTop="1">
      <c r="A52" s="182" t="s">
        <v>314</v>
      </c>
      <c r="B52" s="179" t="s">
        <v>313</v>
      </c>
      <c r="C52" s="179" t="s">
        <v>315</v>
      </c>
      <c r="D52" s="147" t="s">
        <v>231</v>
      </c>
      <c r="E52" s="148"/>
      <c r="F52" s="147" t="s">
        <v>268</v>
      </c>
      <c r="G52" s="148"/>
      <c r="H52" s="149"/>
      <c r="I52" s="147" t="s">
        <v>7</v>
      </c>
      <c r="J52" s="148"/>
      <c r="K52" s="148"/>
      <c r="L52" s="180" t="s">
        <v>316</v>
      </c>
      <c r="M52" s="179" t="s">
        <v>317</v>
      </c>
      <c r="N52" s="147" t="s">
        <v>318</v>
      </c>
      <c r="O52" s="147" t="s">
        <v>269</v>
      </c>
      <c r="P52" s="148"/>
      <c r="Q52" s="149"/>
      <c r="R52" s="147" t="s">
        <v>7</v>
      </c>
      <c r="S52" s="148"/>
      <c r="T52" s="148"/>
      <c r="U52" s="181"/>
      <c r="V52" s="182" t="s">
        <v>314</v>
      </c>
      <c r="W52" s="179" t="s">
        <v>313</v>
      </c>
      <c r="X52" s="179" t="s">
        <v>315</v>
      </c>
      <c r="Y52" s="147" t="s">
        <v>231</v>
      </c>
      <c r="Z52" s="148"/>
      <c r="AA52" s="147" t="s">
        <v>268</v>
      </c>
      <c r="AB52" s="148"/>
      <c r="AC52" s="149"/>
      <c r="AD52" s="147" t="s">
        <v>7</v>
      </c>
      <c r="AE52" s="148"/>
      <c r="AF52" s="148"/>
      <c r="AG52" s="440" t="s">
        <v>316</v>
      </c>
      <c r="AH52" s="148"/>
      <c r="AI52" s="179" t="s">
        <v>317</v>
      </c>
      <c r="AJ52" s="147" t="s">
        <v>318</v>
      </c>
      <c r="AK52" s="147" t="s">
        <v>268</v>
      </c>
      <c r="AL52" s="148"/>
      <c r="AM52" s="149"/>
      <c r="AN52" s="150" t="s">
        <v>7</v>
      </c>
      <c r="AO52" s="151"/>
      <c r="AP52" s="152"/>
    </row>
    <row r="53" spans="1:42" ht="15.75" thickBot="1">
      <c r="A53" s="182"/>
      <c r="B53" s="179"/>
      <c r="C53" s="179"/>
      <c r="D53" s="147"/>
      <c r="E53" s="148"/>
      <c r="F53" s="147"/>
      <c r="G53" s="148"/>
      <c r="H53" s="149"/>
      <c r="I53" s="147"/>
      <c r="J53" s="148"/>
      <c r="K53" s="148"/>
      <c r="L53" s="180"/>
      <c r="M53" s="179"/>
      <c r="N53" s="147"/>
      <c r="O53" s="147"/>
      <c r="P53" s="148"/>
      <c r="Q53" s="149"/>
      <c r="R53" s="147"/>
      <c r="S53" s="148"/>
      <c r="T53" s="148"/>
      <c r="U53" s="181"/>
      <c r="V53" s="182"/>
      <c r="W53" s="179"/>
      <c r="X53" s="179"/>
      <c r="Y53" s="147"/>
      <c r="Z53" s="148"/>
      <c r="AA53" s="147"/>
      <c r="AB53" s="148"/>
      <c r="AC53" s="149"/>
      <c r="AD53" s="147"/>
      <c r="AE53" s="148"/>
      <c r="AF53" s="148"/>
      <c r="AG53" s="440"/>
      <c r="AH53" s="148"/>
      <c r="AI53" s="179"/>
      <c r="AJ53" s="147"/>
      <c r="AK53" s="147"/>
      <c r="AL53" s="148"/>
      <c r="AM53" s="149"/>
      <c r="AN53" s="153"/>
      <c r="AO53" s="154"/>
      <c r="AP53" s="155"/>
    </row>
    <row r="54" spans="1:42" ht="15.75" thickBot="1">
      <c r="A54" s="65">
        <f>AI40+EJ40-FR40</f>
        <v>236.40821029980242</v>
      </c>
      <c r="B54" s="88">
        <f>IT40</f>
        <v>500.7</v>
      </c>
      <c r="C54" s="88">
        <f>JD40</f>
        <v>67.330475369003466</v>
      </c>
      <c r="D54" s="175">
        <v>0.8</v>
      </c>
      <c r="E54" s="175"/>
      <c r="F54" s="79">
        <f>((D54*(B54-C54))/A54)</f>
        <v>1.4665126023547712</v>
      </c>
      <c r="G54" s="176" t="str">
        <f>IF(F54&gt;=1.2,"Verifica","Não verifica")</f>
        <v>Verifica</v>
      </c>
      <c r="H54" s="142"/>
      <c r="I54" s="79">
        <f>(D54*(B54-C54))-A54</f>
        <v>110.28740940499483</v>
      </c>
      <c r="J54" s="177" t="str">
        <f>IF((D54*(B54-C54))&gt;=A54,"Verifica","Não verifica")</f>
        <v>Verifica</v>
      </c>
      <c r="K54" s="178"/>
      <c r="L54" s="66">
        <f>AL40+EL40-FT40</f>
        <v>577.70212836291103</v>
      </c>
      <c r="M54" s="88">
        <f>IW40</f>
        <v>1501.0450000000001</v>
      </c>
      <c r="N54" s="88">
        <f>JH40</f>
        <v>224.4349178966782</v>
      </c>
      <c r="O54" s="79">
        <f>((M54-N54)/L54)</f>
        <v>2.2098067835079167</v>
      </c>
      <c r="P54" s="176" t="str">
        <f>IF(O54&gt;=1.4,"Verifica","Não verifica")</f>
        <v>Verifica</v>
      </c>
      <c r="Q54" s="142"/>
      <c r="R54" s="79">
        <f>M54-N54-L54</f>
        <v>698.9079537404109</v>
      </c>
      <c r="S54" s="177" t="str">
        <f>IF(((M54-N54)&gt;=L54),"Verifica","Não verifica")</f>
        <v>Verifica</v>
      </c>
      <c r="T54" s="144"/>
      <c r="U54" s="146"/>
      <c r="V54" s="65">
        <f>BP40+EJ40-FR40</f>
        <v>138.67383419181857</v>
      </c>
      <c r="W54" s="88">
        <f>IT40</f>
        <v>500.7</v>
      </c>
      <c r="X54" s="88">
        <f>JR40</f>
        <v>90.982184618449338</v>
      </c>
      <c r="Y54" s="175">
        <v>0.8</v>
      </c>
      <c r="Z54" s="175"/>
      <c r="AA54" s="79">
        <f>((Y54*(W54-X54))/V54)</f>
        <v>2.3636344535758025</v>
      </c>
      <c r="AB54" s="141" t="str">
        <f>IF(AA54&gt;=1.2,"Verifica","Não verifica")</f>
        <v>Verifica</v>
      </c>
      <c r="AC54" s="142"/>
      <c r="AD54" s="79">
        <f>(Y54*(W54-X54))-V54</f>
        <v>189.10041811342194</v>
      </c>
      <c r="AE54" s="143" t="str">
        <f>IF((Y54*(W54-X54))&gt;=V54,"Verifica","Não verifica")</f>
        <v>Verifica</v>
      </c>
      <c r="AF54" s="144"/>
      <c r="AG54" s="145">
        <f>CD40+EL40-FT40</f>
        <v>205.73343324024415</v>
      </c>
      <c r="AH54" s="142"/>
      <c r="AI54" s="67">
        <f>IW40</f>
        <v>1501.0450000000001</v>
      </c>
      <c r="AJ54" s="88">
        <f>JX40</f>
        <v>259.94909890985525</v>
      </c>
      <c r="AK54" s="79">
        <f>((AI54-AJ54)/AG54)</f>
        <v>6.0325435761374839</v>
      </c>
      <c r="AL54" s="141" t="str">
        <f>IF(AK54&gt;=1.4,"Verifica","Não verifica")</f>
        <v>Verifica</v>
      </c>
      <c r="AM54" s="142"/>
      <c r="AN54" s="79">
        <f>AI54-AJ54-AG54</f>
        <v>1035.3624678499004</v>
      </c>
      <c r="AO54" s="143" t="str">
        <f>IF((AI54-AJ54)&gt;=AG54,"Verifica","Não verifica")</f>
        <v>Verifica</v>
      </c>
      <c r="AP54" s="146"/>
    </row>
    <row r="56" spans="1:42" ht="15" customHeight="1">
      <c r="L56" s="6"/>
      <c r="AN56" t="s">
        <v>2</v>
      </c>
    </row>
    <row r="58" spans="1:42">
      <c r="AC58" t="s">
        <v>2</v>
      </c>
    </row>
    <row r="60" spans="1:42">
      <c r="M60" t="s">
        <v>2</v>
      </c>
      <c r="Q60" t="s">
        <v>2</v>
      </c>
    </row>
  </sheetData>
  <mergeCells count="670">
    <mergeCell ref="BD17:BE17"/>
    <mergeCell ref="A23:AG23"/>
    <mergeCell ref="AH23:AY23"/>
    <mergeCell ref="AZ23:BH23"/>
    <mergeCell ref="BI23:BX23"/>
    <mergeCell ref="A6:E6"/>
    <mergeCell ref="AI52:AI53"/>
    <mergeCell ref="AJ52:AJ53"/>
    <mergeCell ref="AG52:AH53"/>
    <mergeCell ref="A4:C4"/>
    <mergeCell ref="K5:L5"/>
    <mergeCell ref="V5:W5"/>
    <mergeCell ref="AI5:AJ5"/>
    <mergeCell ref="AZ5:BA5"/>
    <mergeCell ref="A8:H8"/>
    <mergeCell ref="A14:H18"/>
    <mergeCell ref="AV14:AV16"/>
    <mergeCell ref="AW14:AW16"/>
    <mergeCell ref="AX14:AX16"/>
    <mergeCell ref="AY14:AY16"/>
    <mergeCell ref="AZ14:AZ16"/>
    <mergeCell ref="A11:H13"/>
    <mergeCell ref="AV12:AZ12"/>
    <mergeCell ref="FF5:FG5"/>
    <mergeCell ref="FS5:FT5"/>
    <mergeCell ref="GH5:GI5"/>
    <mergeCell ref="GX5:GY5"/>
    <mergeCell ref="DI6:DK7"/>
    <mergeCell ref="DL6:DN7"/>
    <mergeCell ref="DO6:DP7"/>
    <mergeCell ref="DQ6:DR7"/>
    <mergeCell ref="BN5:BO5"/>
    <mergeCell ref="BY5:BZ5"/>
    <mergeCell ref="CI5:CL5"/>
    <mergeCell ref="DA5:DF5"/>
    <mergeCell ref="DI5:DY5"/>
    <mergeCell ref="EU5:EV5"/>
    <mergeCell ref="EP6:EQ7"/>
    <mergeCell ref="DA7:DE7"/>
    <mergeCell ref="EJ6:EK7"/>
    <mergeCell ref="EL6:EM7"/>
    <mergeCell ref="EN6:EO7"/>
    <mergeCell ref="DB8:DC8"/>
    <mergeCell ref="DD8:DE8"/>
    <mergeCell ref="DI8:DK8"/>
    <mergeCell ref="DL8:DN8"/>
    <mergeCell ref="DO8:DP8"/>
    <mergeCell ref="EE6:EF7"/>
    <mergeCell ref="EG6:EG7"/>
    <mergeCell ref="EH6:EI7"/>
    <mergeCell ref="DS6:DT7"/>
    <mergeCell ref="DU6:DV7"/>
    <mergeCell ref="DW6:DX7"/>
    <mergeCell ref="DY6:DZ7"/>
    <mergeCell ref="EA6:EB7"/>
    <mergeCell ref="EC6:ED7"/>
    <mergeCell ref="EP8:EQ8"/>
    <mergeCell ref="A9:H10"/>
    <mergeCell ref="DB9:DC9"/>
    <mergeCell ref="DD9:DE10"/>
    <mergeCell ref="DB10:DC10"/>
    <mergeCell ref="DI10:DK11"/>
    <mergeCell ref="DL10:DN11"/>
    <mergeCell ref="DO10:DP11"/>
    <mergeCell ref="DQ10:DR11"/>
    <mergeCell ref="DS10:DT11"/>
    <mergeCell ref="EC8:ED8"/>
    <mergeCell ref="EE8:EF8"/>
    <mergeCell ref="EH8:EI8"/>
    <mergeCell ref="EJ8:EK8"/>
    <mergeCell ref="EL8:EM8"/>
    <mergeCell ref="EN8:EO8"/>
    <mergeCell ref="DQ8:DR8"/>
    <mergeCell ref="DS8:DT8"/>
    <mergeCell ref="DU8:DV8"/>
    <mergeCell ref="DW8:DX8"/>
    <mergeCell ref="DY8:DZ8"/>
    <mergeCell ref="EA8:EB8"/>
    <mergeCell ref="EG10:EG11"/>
    <mergeCell ref="EH10:EI11"/>
    <mergeCell ref="EJ10:EK11"/>
    <mergeCell ref="EL10:EM11"/>
    <mergeCell ref="EN10:EO11"/>
    <mergeCell ref="EP10:EQ11"/>
    <mergeCell ref="DU10:DV11"/>
    <mergeCell ref="DW10:DX11"/>
    <mergeCell ref="DY10:DZ11"/>
    <mergeCell ref="EA10:EB11"/>
    <mergeCell ref="EC10:ED11"/>
    <mergeCell ref="EE10:EF11"/>
    <mergeCell ref="BC14:BC15"/>
    <mergeCell ref="BD14:BE15"/>
    <mergeCell ref="DB14:DC14"/>
    <mergeCell ref="DD14:DE15"/>
    <mergeCell ref="DI14:DK15"/>
    <mergeCell ref="DL14:DN15"/>
    <mergeCell ref="EA12:EB12"/>
    <mergeCell ref="EC12:ED12"/>
    <mergeCell ref="EE12:EF12"/>
    <mergeCell ref="DO12:DP12"/>
    <mergeCell ref="DQ12:DR12"/>
    <mergeCell ref="DS12:DT12"/>
    <mergeCell ref="DU12:DV12"/>
    <mergeCell ref="DW12:DX12"/>
    <mergeCell ref="DY12:DZ12"/>
    <mergeCell ref="BC12:BF12"/>
    <mergeCell ref="EN12:EO12"/>
    <mergeCell ref="EP12:EQ12"/>
    <mergeCell ref="DB13:DC13"/>
    <mergeCell ref="DD13:DE13"/>
    <mergeCell ref="EH12:EI12"/>
    <mergeCell ref="EJ12:EK12"/>
    <mergeCell ref="EL12:EM12"/>
    <mergeCell ref="EN14:EO15"/>
    <mergeCell ref="EP14:EQ15"/>
    <mergeCell ref="DB15:DC15"/>
    <mergeCell ref="EG14:EG15"/>
    <mergeCell ref="EH14:EI15"/>
    <mergeCell ref="EJ14:EK15"/>
    <mergeCell ref="DA12:DE12"/>
    <mergeCell ref="DI12:DK12"/>
    <mergeCell ref="DL12:DN12"/>
    <mergeCell ref="DA17:DE17"/>
    <mergeCell ref="DU16:DV16"/>
    <mergeCell ref="DW16:DX16"/>
    <mergeCell ref="DY16:DZ16"/>
    <mergeCell ref="EA16:EB16"/>
    <mergeCell ref="EC16:ED16"/>
    <mergeCell ref="EE16:EF16"/>
    <mergeCell ref="EL14:EM15"/>
    <mergeCell ref="BD16:BE16"/>
    <mergeCell ref="DI16:DK16"/>
    <mergeCell ref="DL16:DN16"/>
    <mergeCell ref="DO16:DP16"/>
    <mergeCell ref="DQ16:DR16"/>
    <mergeCell ref="DS16:DT16"/>
    <mergeCell ref="EA14:EB15"/>
    <mergeCell ref="EC14:ED15"/>
    <mergeCell ref="EE14:EF15"/>
    <mergeCell ref="DO14:DP15"/>
    <mergeCell ref="DQ14:DR15"/>
    <mergeCell ref="DS14:DT15"/>
    <mergeCell ref="DU14:DV15"/>
    <mergeCell ref="DW14:DX15"/>
    <mergeCell ref="DY14:DZ15"/>
    <mergeCell ref="EH16:EI16"/>
    <mergeCell ref="EJ16:EK16"/>
    <mergeCell ref="EL16:EM16"/>
    <mergeCell ref="EN16:EO16"/>
    <mergeCell ref="EP16:EQ16"/>
    <mergeCell ref="EN18:EO19"/>
    <mergeCell ref="EP18:EQ19"/>
    <mergeCell ref="EE18:EF19"/>
    <mergeCell ref="EG18:EG19"/>
    <mergeCell ref="EH18:EI19"/>
    <mergeCell ref="EJ18:EK19"/>
    <mergeCell ref="EL18:EM19"/>
    <mergeCell ref="DB19:DC19"/>
    <mergeCell ref="DD19:DE20"/>
    <mergeCell ref="AE20:AG22"/>
    <mergeCell ref="DB20:DC20"/>
    <mergeCell ref="DI20:DK20"/>
    <mergeCell ref="DL20:DN20"/>
    <mergeCell ref="DO20:DP20"/>
    <mergeCell ref="DQ20:DR20"/>
    <mergeCell ref="EC18:ED19"/>
    <mergeCell ref="DQ18:DR19"/>
    <mergeCell ref="DS18:DT19"/>
    <mergeCell ref="DU18:DV19"/>
    <mergeCell ref="DW18:DX19"/>
    <mergeCell ref="DY18:DZ19"/>
    <mergeCell ref="EA18:EB19"/>
    <mergeCell ref="BD18:BE18"/>
    <mergeCell ref="DB18:DC18"/>
    <mergeCell ref="DD18:DE18"/>
    <mergeCell ref="DI18:DK19"/>
    <mergeCell ref="DL18:DN19"/>
    <mergeCell ref="DO18:DP19"/>
    <mergeCell ref="EE20:EF20"/>
    <mergeCell ref="EH20:EI20"/>
    <mergeCell ref="EJ20:EK20"/>
    <mergeCell ref="EL20:EM20"/>
    <mergeCell ref="EN20:EO20"/>
    <mergeCell ref="EP20:EQ20"/>
    <mergeCell ref="DS20:DT20"/>
    <mergeCell ref="DU20:DV20"/>
    <mergeCell ref="DW20:DX20"/>
    <mergeCell ref="DY20:DZ20"/>
    <mergeCell ref="EA20:EB20"/>
    <mergeCell ref="EC20:ED20"/>
    <mergeCell ref="A24:A25"/>
    <mergeCell ref="B24:C25"/>
    <mergeCell ref="D24:E25"/>
    <mergeCell ref="F24:G25"/>
    <mergeCell ref="H24:J25"/>
    <mergeCell ref="W24:Y25"/>
    <mergeCell ref="Z24:Z25"/>
    <mergeCell ref="AA24:AA25"/>
    <mergeCell ref="AB24:AB25"/>
    <mergeCell ref="AC24:AC25"/>
    <mergeCell ref="AD24:AD25"/>
    <mergeCell ref="K24:L25"/>
    <mergeCell ref="M24:N25"/>
    <mergeCell ref="O24:P25"/>
    <mergeCell ref="Q24:R25"/>
    <mergeCell ref="S24:U24"/>
    <mergeCell ref="V24:V25"/>
    <mergeCell ref="AO24:AO25"/>
    <mergeCell ref="AP24:AP25"/>
    <mergeCell ref="AQ24:AR25"/>
    <mergeCell ref="AS24:AS25"/>
    <mergeCell ref="AT24:AT25"/>
    <mergeCell ref="AU24:AV25"/>
    <mergeCell ref="AE24:AG25"/>
    <mergeCell ref="AH24:AI25"/>
    <mergeCell ref="AJ24:AK24"/>
    <mergeCell ref="AL24:AL25"/>
    <mergeCell ref="AM24:AM25"/>
    <mergeCell ref="AN24:AN25"/>
    <mergeCell ref="BF24:BF25"/>
    <mergeCell ref="BG24:BG25"/>
    <mergeCell ref="BH24:BH25"/>
    <mergeCell ref="BI24:BM24"/>
    <mergeCell ref="BN24:BX24"/>
    <mergeCell ref="BY24:CA25"/>
    <mergeCell ref="AW24:AW25"/>
    <mergeCell ref="AX24:AY25"/>
    <mergeCell ref="AZ24:AZ25"/>
    <mergeCell ref="BA24:BA25"/>
    <mergeCell ref="BB24:BD24"/>
    <mergeCell ref="BE24:BE25"/>
    <mergeCell ref="CQ24:CR25"/>
    <mergeCell ref="CS24:CT25"/>
    <mergeCell ref="CW24:CX25"/>
    <mergeCell ref="CY24:DA25"/>
    <mergeCell ref="DB24:DD25"/>
    <mergeCell ref="DE24:DF25"/>
    <mergeCell ref="CB24:CC25"/>
    <mergeCell ref="CD24:CF25"/>
    <mergeCell ref="CG24:CI25"/>
    <mergeCell ref="CJ24:CL25"/>
    <mergeCell ref="CM24:CN25"/>
    <mergeCell ref="CO24:CP25"/>
    <mergeCell ref="CU24:CV25"/>
    <mergeCell ref="DZ24:EA25"/>
    <mergeCell ref="EB24:EC25"/>
    <mergeCell ref="ED24:EE25"/>
    <mergeCell ref="DG24:DI25"/>
    <mergeCell ref="DJ24:DK25"/>
    <mergeCell ref="DL24:DM25"/>
    <mergeCell ref="DN24:DO25"/>
    <mergeCell ref="DP24:DQ25"/>
    <mergeCell ref="DR24:DS25"/>
    <mergeCell ref="FM24:FO25"/>
    <mergeCell ref="FP24:FR25"/>
    <mergeCell ref="FS24:FU25"/>
    <mergeCell ref="BI25:BJ25"/>
    <mergeCell ref="BL25:BM25"/>
    <mergeCell ref="BN25:BO25"/>
    <mergeCell ref="BR25:BS25"/>
    <mergeCell ref="BT25:BV25"/>
    <mergeCell ref="BW25:BX25"/>
    <mergeCell ref="ET24:EV25"/>
    <mergeCell ref="EW24:EY25"/>
    <mergeCell ref="EZ24:FB25"/>
    <mergeCell ref="FC24:FE25"/>
    <mergeCell ref="FF24:FI25"/>
    <mergeCell ref="FJ24:FL25"/>
    <mergeCell ref="EF24:EG25"/>
    <mergeCell ref="EH24:EI25"/>
    <mergeCell ref="EJ24:EK25"/>
    <mergeCell ref="EL24:EM25"/>
    <mergeCell ref="EN24:EP25"/>
    <mergeCell ref="EQ24:ES25"/>
    <mergeCell ref="DT24:DU25"/>
    <mergeCell ref="DV24:DW25"/>
    <mergeCell ref="DX24:DY25"/>
    <mergeCell ref="O26:P26"/>
    <mergeCell ref="Q26:R26"/>
    <mergeCell ref="X26:Y26"/>
    <mergeCell ref="AE26:AF26"/>
    <mergeCell ref="AH26:AI26"/>
    <mergeCell ref="AQ26:AR26"/>
    <mergeCell ref="B26:C26"/>
    <mergeCell ref="D26:E26"/>
    <mergeCell ref="F26:G26"/>
    <mergeCell ref="H26:J26"/>
    <mergeCell ref="K26:L26"/>
    <mergeCell ref="M26:N26"/>
    <mergeCell ref="BT26:BV26"/>
    <mergeCell ref="BW26:BX26"/>
    <mergeCell ref="BY26:CA26"/>
    <mergeCell ref="CB26:CC26"/>
    <mergeCell ref="CD26:CF26"/>
    <mergeCell ref="CG26:CI26"/>
    <mergeCell ref="AU26:AV26"/>
    <mergeCell ref="AX26:AY26"/>
    <mergeCell ref="BI26:BJ26"/>
    <mergeCell ref="BL26:BM26"/>
    <mergeCell ref="BN26:BO26"/>
    <mergeCell ref="BR26:BS26"/>
    <mergeCell ref="DG26:DI26"/>
    <mergeCell ref="DJ26:DK26"/>
    <mergeCell ref="DL26:DM26"/>
    <mergeCell ref="CJ26:CL26"/>
    <mergeCell ref="CM26:CN26"/>
    <mergeCell ref="CO26:CP26"/>
    <mergeCell ref="CQ26:CR26"/>
    <mergeCell ref="CS26:CT26"/>
    <mergeCell ref="CW26:CX26"/>
    <mergeCell ref="CU26:CV26"/>
    <mergeCell ref="FM26:FO26"/>
    <mergeCell ref="FP26:FR26"/>
    <mergeCell ref="FS26:FU26"/>
    <mergeCell ref="EL26:EM26"/>
    <mergeCell ref="EN26:EP26"/>
    <mergeCell ref="EQ26:ES26"/>
    <mergeCell ref="ET26:EV26"/>
    <mergeCell ref="EW26:EY26"/>
    <mergeCell ref="EZ26:FB26"/>
    <mergeCell ref="AQ27:AR27"/>
    <mergeCell ref="AX27:AY27"/>
    <mergeCell ref="DL27:DM27"/>
    <mergeCell ref="DV27:DW27"/>
    <mergeCell ref="EF27:EG27"/>
    <mergeCell ref="AX28:AY28"/>
    <mergeCell ref="FC26:FE26"/>
    <mergeCell ref="FF26:FI26"/>
    <mergeCell ref="FJ26:FL26"/>
    <mergeCell ref="DZ26:EA26"/>
    <mergeCell ref="EB26:EC26"/>
    <mergeCell ref="ED26:EE26"/>
    <mergeCell ref="EF26:EG26"/>
    <mergeCell ref="EH26:EI26"/>
    <mergeCell ref="EJ26:EK26"/>
    <mergeCell ref="DN26:DO26"/>
    <mergeCell ref="DP26:DQ26"/>
    <mergeCell ref="DR26:DS26"/>
    <mergeCell ref="DT26:DU26"/>
    <mergeCell ref="DV26:DW26"/>
    <mergeCell ref="DX26:DY26"/>
    <mergeCell ref="CY26:DA26"/>
    <mergeCell ref="DB26:DD26"/>
    <mergeCell ref="DE26:DF26"/>
    <mergeCell ref="A37:FU37"/>
    <mergeCell ref="FV37:JY37"/>
    <mergeCell ref="A38:AN38"/>
    <mergeCell ref="AO38:CE38"/>
    <mergeCell ref="CF38:CQ38"/>
    <mergeCell ref="CT38:DI38"/>
    <mergeCell ref="DJ38:EI38"/>
    <mergeCell ref="EJ38:EM38"/>
    <mergeCell ref="EN38:FA38"/>
    <mergeCell ref="FB38:FQ38"/>
    <mergeCell ref="FR38:FU38"/>
    <mergeCell ref="FV38:IY38"/>
    <mergeCell ref="IZ38:JI38"/>
    <mergeCell ref="JJ38:JY38"/>
    <mergeCell ref="A39:B39"/>
    <mergeCell ref="C39:D39"/>
    <mergeCell ref="E39:F39"/>
    <mergeCell ref="G39:H39"/>
    <mergeCell ref="I39:J39"/>
    <mergeCell ref="K39:L39"/>
    <mergeCell ref="Z39:AA39"/>
    <mergeCell ref="AB39:AC39"/>
    <mergeCell ref="AD39:AE39"/>
    <mergeCell ref="AF39:AH39"/>
    <mergeCell ref="AI39:AK39"/>
    <mergeCell ref="AL39:AN39"/>
    <mergeCell ref="M39:N39"/>
    <mergeCell ref="O39:P39"/>
    <mergeCell ref="Q39:R39"/>
    <mergeCell ref="S39:U39"/>
    <mergeCell ref="V39:W39"/>
    <mergeCell ref="X39:Y39"/>
    <mergeCell ref="BA39:BB39"/>
    <mergeCell ref="BC39:BD39"/>
    <mergeCell ref="BE39:BF39"/>
    <mergeCell ref="BG39:BI39"/>
    <mergeCell ref="BJ39:BL39"/>
    <mergeCell ref="BM39:BO39"/>
    <mergeCell ref="AO39:AP39"/>
    <mergeCell ref="AQ39:AR39"/>
    <mergeCell ref="AS39:AT39"/>
    <mergeCell ref="AU39:AV39"/>
    <mergeCell ref="AW39:AX39"/>
    <mergeCell ref="AY39:AZ39"/>
    <mergeCell ref="CB39:CC39"/>
    <mergeCell ref="CD39:CE39"/>
    <mergeCell ref="CH39:CI39"/>
    <mergeCell ref="CL39:CM39"/>
    <mergeCell ref="CN39:CO39"/>
    <mergeCell ref="CP39:CQ39"/>
    <mergeCell ref="BP39:BQ39"/>
    <mergeCell ref="BR39:BS39"/>
    <mergeCell ref="BT39:BU39"/>
    <mergeCell ref="BV39:BW39"/>
    <mergeCell ref="BX39:BY39"/>
    <mergeCell ref="BZ39:CA39"/>
    <mergeCell ref="DH39:DI39"/>
    <mergeCell ref="DL39:DM39"/>
    <mergeCell ref="DP39:DQ39"/>
    <mergeCell ref="DR39:DS39"/>
    <mergeCell ref="DT39:DU39"/>
    <mergeCell ref="DV39:DW39"/>
    <mergeCell ref="CR39:CS39"/>
    <mergeCell ref="CV39:CW39"/>
    <mergeCell ref="CZ39:DA39"/>
    <mergeCell ref="DB39:DC39"/>
    <mergeCell ref="DD39:DE39"/>
    <mergeCell ref="DF39:DG39"/>
    <mergeCell ref="EJ39:EK39"/>
    <mergeCell ref="EL39:EM39"/>
    <mergeCell ref="EP39:EQ39"/>
    <mergeCell ref="ET39:EU39"/>
    <mergeCell ref="EV39:EW39"/>
    <mergeCell ref="EX39:EY39"/>
    <mergeCell ref="DX39:DY39"/>
    <mergeCell ref="DZ39:EA39"/>
    <mergeCell ref="EB39:EC39"/>
    <mergeCell ref="ED39:EE39"/>
    <mergeCell ref="EF39:EG39"/>
    <mergeCell ref="EH39:EI39"/>
    <mergeCell ref="FP39:FQ39"/>
    <mergeCell ref="FR39:FS39"/>
    <mergeCell ref="FT39:FU39"/>
    <mergeCell ref="FV39:FW39"/>
    <mergeCell ref="FX39:FZ39"/>
    <mergeCell ref="GA39:GC39"/>
    <mergeCell ref="EZ39:FA39"/>
    <mergeCell ref="FD39:FE39"/>
    <mergeCell ref="FH39:FI39"/>
    <mergeCell ref="FJ39:FK39"/>
    <mergeCell ref="FL39:FM39"/>
    <mergeCell ref="FN39:FO39"/>
    <mergeCell ref="GU39:GW39"/>
    <mergeCell ref="GX39:GZ39"/>
    <mergeCell ref="HA39:HC39"/>
    <mergeCell ref="HD39:HF39"/>
    <mergeCell ref="HG39:HH39"/>
    <mergeCell ref="HI39:HJ39"/>
    <mergeCell ref="GD39:GF39"/>
    <mergeCell ref="GG39:GI39"/>
    <mergeCell ref="GJ39:GL39"/>
    <mergeCell ref="GM39:GO39"/>
    <mergeCell ref="GP39:GQ39"/>
    <mergeCell ref="GR39:GT39"/>
    <mergeCell ref="IG39:II39"/>
    <mergeCell ref="IJ39:IL39"/>
    <mergeCell ref="IM39:IN39"/>
    <mergeCell ref="IO39:IP39"/>
    <mergeCell ref="HK39:HM39"/>
    <mergeCell ref="HN39:HP39"/>
    <mergeCell ref="HQ39:HS39"/>
    <mergeCell ref="HT39:HV39"/>
    <mergeCell ref="HW39:HX39"/>
    <mergeCell ref="HY39:HZ39"/>
    <mergeCell ref="JR39:JS39"/>
    <mergeCell ref="JT39:JU39"/>
    <mergeCell ref="JV39:JW39"/>
    <mergeCell ref="JX39:JY39"/>
    <mergeCell ref="A40:B40"/>
    <mergeCell ref="C40:D40"/>
    <mergeCell ref="E40:F40"/>
    <mergeCell ref="G40:H40"/>
    <mergeCell ref="I40:J40"/>
    <mergeCell ref="K40:L40"/>
    <mergeCell ref="JF39:JG39"/>
    <mergeCell ref="JH39:JI39"/>
    <mergeCell ref="JJ39:JK39"/>
    <mergeCell ref="JL39:JM39"/>
    <mergeCell ref="JN39:JO39"/>
    <mergeCell ref="JP39:JQ39"/>
    <mergeCell ref="IQ39:IS39"/>
    <mergeCell ref="IT39:IV39"/>
    <mergeCell ref="IW39:IY39"/>
    <mergeCell ref="IZ39:JA39"/>
    <mergeCell ref="JB39:JC39"/>
    <mergeCell ref="JD39:JE39"/>
    <mergeCell ref="IA39:IC39"/>
    <mergeCell ref="ID39:IF39"/>
    <mergeCell ref="Z40:AA40"/>
    <mergeCell ref="AB40:AC40"/>
    <mergeCell ref="AD40:AE40"/>
    <mergeCell ref="AF40:AH40"/>
    <mergeCell ref="AI40:AK40"/>
    <mergeCell ref="AL40:AN40"/>
    <mergeCell ref="M40:N40"/>
    <mergeCell ref="O40:P40"/>
    <mergeCell ref="Q40:R40"/>
    <mergeCell ref="S40:U40"/>
    <mergeCell ref="V40:W40"/>
    <mergeCell ref="X40:Y40"/>
    <mergeCell ref="BA40:BB40"/>
    <mergeCell ref="BC40:BD40"/>
    <mergeCell ref="BE40:BF40"/>
    <mergeCell ref="BG40:BI40"/>
    <mergeCell ref="BJ40:BL40"/>
    <mergeCell ref="BM40:BO40"/>
    <mergeCell ref="AO40:AP40"/>
    <mergeCell ref="AQ40:AR40"/>
    <mergeCell ref="AS40:AT40"/>
    <mergeCell ref="AU40:AV40"/>
    <mergeCell ref="AW40:AX40"/>
    <mergeCell ref="AY40:AZ40"/>
    <mergeCell ref="CB40:CC40"/>
    <mergeCell ref="CD40:CE40"/>
    <mergeCell ref="CH40:CI40"/>
    <mergeCell ref="CL40:CM40"/>
    <mergeCell ref="CN40:CO40"/>
    <mergeCell ref="CP40:CQ40"/>
    <mergeCell ref="BP40:BQ40"/>
    <mergeCell ref="BR40:BS40"/>
    <mergeCell ref="BT40:BU40"/>
    <mergeCell ref="BV40:BW40"/>
    <mergeCell ref="BX40:BY40"/>
    <mergeCell ref="BZ40:CA40"/>
    <mergeCell ref="DH40:DI40"/>
    <mergeCell ref="DL40:DM40"/>
    <mergeCell ref="DP40:DQ40"/>
    <mergeCell ref="DR40:DS40"/>
    <mergeCell ref="DT40:DU40"/>
    <mergeCell ref="DV40:DW40"/>
    <mergeCell ref="CR40:CS40"/>
    <mergeCell ref="CV40:CW40"/>
    <mergeCell ref="CZ40:DA40"/>
    <mergeCell ref="DB40:DC40"/>
    <mergeCell ref="DD40:DE40"/>
    <mergeCell ref="DF40:DG40"/>
    <mergeCell ref="EL40:EM40"/>
    <mergeCell ref="EP40:EQ40"/>
    <mergeCell ref="ET40:EU40"/>
    <mergeCell ref="EV40:EW40"/>
    <mergeCell ref="EX40:EY40"/>
    <mergeCell ref="DX40:DY40"/>
    <mergeCell ref="DZ40:EA40"/>
    <mergeCell ref="EB40:EC40"/>
    <mergeCell ref="ED40:EE40"/>
    <mergeCell ref="EF40:EG40"/>
    <mergeCell ref="EH40:EI40"/>
    <mergeCell ref="FV40:FW40"/>
    <mergeCell ref="FX40:FZ40"/>
    <mergeCell ref="GA40:GC40"/>
    <mergeCell ref="EZ40:FA40"/>
    <mergeCell ref="FD40:FE40"/>
    <mergeCell ref="FH40:FI40"/>
    <mergeCell ref="FJ40:FK40"/>
    <mergeCell ref="FL40:FM40"/>
    <mergeCell ref="FN40:FO40"/>
    <mergeCell ref="GU40:GW40"/>
    <mergeCell ref="GX40:GZ40"/>
    <mergeCell ref="HA40:HC40"/>
    <mergeCell ref="HD40:HF40"/>
    <mergeCell ref="HG40:HH40"/>
    <mergeCell ref="HI40:HJ40"/>
    <mergeCell ref="GD40:GF40"/>
    <mergeCell ref="GG40:GI40"/>
    <mergeCell ref="GJ40:GL40"/>
    <mergeCell ref="GM40:GO40"/>
    <mergeCell ref="GP40:GQ40"/>
    <mergeCell ref="GR40:GT40"/>
    <mergeCell ref="IG40:II40"/>
    <mergeCell ref="IJ40:IL40"/>
    <mergeCell ref="IM40:IN40"/>
    <mergeCell ref="IO40:IP40"/>
    <mergeCell ref="HK40:HM40"/>
    <mergeCell ref="HN40:HP40"/>
    <mergeCell ref="HQ40:HS40"/>
    <mergeCell ref="HT40:HV40"/>
    <mergeCell ref="HW40:HX40"/>
    <mergeCell ref="HY40:HZ40"/>
    <mergeCell ref="JR40:JS40"/>
    <mergeCell ref="JT40:JU40"/>
    <mergeCell ref="JV40:JW40"/>
    <mergeCell ref="JX40:JY40"/>
    <mergeCell ref="BE41:BF41"/>
    <mergeCell ref="BJ41:BL41"/>
    <mergeCell ref="BT41:BU41"/>
    <mergeCell ref="BV41:BW41"/>
    <mergeCell ref="BZ41:CA41"/>
    <mergeCell ref="CB41:CC41"/>
    <mergeCell ref="JF40:JG40"/>
    <mergeCell ref="JH40:JI40"/>
    <mergeCell ref="JJ40:JK40"/>
    <mergeCell ref="JL40:JM40"/>
    <mergeCell ref="JN40:JO40"/>
    <mergeCell ref="JP40:JQ40"/>
    <mergeCell ref="IQ40:IS40"/>
    <mergeCell ref="IT40:IV40"/>
    <mergeCell ref="IW40:IY40"/>
    <mergeCell ref="IZ40:JA40"/>
    <mergeCell ref="JB40:JC40"/>
    <mergeCell ref="JD40:JE40"/>
    <mergeCell ref="IA40:IC40"/>
    <mergeCell ref="ID40:IF40"/>
    <mergeCell ref="FR41:FU42"/>
    <mergeCell ref="BJ42:BL42"/>
    <mergeCell ref="BV42:BW42"/>
    <mergeCell ref="CB42:CC42"/>
    <mergeCell ref="DP42:DQ42"/>
    <mergeCell ref="DR42:DS42"/>
    <mergeCell ref="DT42:DU42"/>
    <mergeCell ref="DT41:DU41"/>
    <mergeCell ref="DV41:DW41"/>
    <mergeCell ref="DZ41:EA41"/>
    <mergeCell ref="ED41:EE41"/>
    <mergeCell ref="EJ41:EM42"/>
    <mergeCell ref="ET41:EU41"/>
    <mergeCell ref="DV42:DW42"/>
    <mergeCell ref="DZ42:EA42"/>
    <mergeCell ref="ED42:EE42"/>
    <mergeCell ref="CL41:CM41"/>
    <mergeCell ref="F52:H53"/>
    <mergeCell ref="I52:K53"/>
    <mergeCell ref="F50:H50"/>
    <mergeCell ref="O50:Q50"/>
    <mergeCell ref="AA50:AC50"/>
    <mergeCell ref="AK50:AM50"/>
    <mergeCell ref="FH41:FI41"/>
    <mergeCell ref="FJ41:FK41"/>
    <mergeCell ref="FN41:FO41"/>
    <mergeCell ref="EJ40:EK40"/>
    <mergeCell ref="D54:E54"/>
    <mergeCell ref="G54:H54"/>
    <mergeCell ref="J54:K54"/>
    <mergeCell ref="P54:Q54"/>
    <mergeCell ref="S54:U54"/>
    <mergeCell ref="Y54:Z54"/>
    <mergeCell ref="W52:W53"/>
    <mergeCell ref="X52:X53"/>
    <mergeCell ref="Y52:Z53"/>
    <mergeCell ref="L52:L53"/>
    <mergeCell ref="M52:M53"/>
    <mergeCell ref="N52:N53"/>
    <mergeCell ref="O52:Q53"/>
    <mergeCell ref="R52:U53"/>
    <mergeCell ref="V52:V53"/>
    <mergeCell ref="A51:K51"/>
    <mergeCell ref="L51:U51"/>
    <mergeCell ref="V51:AF51"/>
    <mergeCell ref="AG51:AP51"/>
    <mergeCell ref="A52:A53"/>
    <mergeCell ref="B52:B53"/>
    <mergeCell ref="C52:C53"/>
    <mergeCell ref="D52:E53"/>
    <mergeCell ref="F6:H6"/>
    <mergeCell ref="A7:E7"/>
    <mergeCell ref="F7:H7"/>
    <mergeCell ref="BA2:CB2"/>
    <mergeCell ref="BY23:FU23"/>
    <mergeCell ref="AB54:AC54"/>
    <mergeCell ref="AE54:AF54"/>
    <mergeCell ref="AG54:AH54"/>
    <mergeCell ref="AL54:AM54"/>
    <mergeCell ref="AO54:AP54"/>
    <mergeCell ref="AK52:AM53"/>
    <mergeCell ref="AN52:AP53"/>
    <mergeCell ref="AA52:AC53"/>
    <mergeCell ref="AD52:AF53"/>
    <mergeCell ref="DV43:DW43"/>
    <mergeCell ref="ED43:EE43"/>
    <mergeCell ref="CZ41:DA41"/>
    <mergeCell ref="DB41:DC41"/>
    <mergeCell ref="DF41:DG41"/>
    <mergeCell ref="DP41:DQ41"/>
    <mergeCell ref="DR41:DS41"/>
    <mergeCell ref="FP40:FQ40"/>
    <mergeCell ref="FR40:FS40"/>
    <mergeCell ref="FT40:FU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V60"/>
  <sheetViews>
    <sheetView workbookViewId="0">
      <selection activeCell="I4" sqref="I4"/>
    </sheetView>
  </sheetViews>
  <sheetFormatPr defaultRowHeight="15"/>
  <cols>
    <col min="11" max="11" width="9.140625" customWidth="1"/>
    <col min="18" max="18" width="9.140625" customWidth="1"/>
    <col min="20" max="20" width="1.7109375" customWidth="1"/>
    <col min="26" max="28" width="9.140625" customWidth="1"/>
    <col min="33" max="33" width="2.7109375" customWidth="1"/>
    <col min="45" max="49" width="9.140625" customWidth="1"/>
    <col min="54" max="56" width="9.140625" customWidth="1"/>
    <col min="60" max="60" width="9.140625" customWidth="1"/>
    <col min="111" max="111" width="9.140625" customWidth="1"/>
  </cols>
  <sheetData>
    <row r="2" spans="1:207" ht="23.25">
      <c r="O2" s="2"/>
      <c r="P2" s="2"/>
      <c r="Z2" s="2"/>
      <c r="AA2" s="2"/>
      <c r="AB2" s="2"/>
      <c r="BA2" s="137" t="s">
        <v>334</v>
      </c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</row>
    <row r="4" spans="1:207" ht="19.5">
      <c r="A4" s="436" t="s">
        <v>0</v>
      </c>
      <c r="B4" s="436"/>
      <c r="C4" s="436"/>
      <c r="D4" s="1"/>
      <c r="E4" s="1"/>
      <c r="O4" s="1"/>
    </row>
    <row r="5" spans="1:207" ht="20.25" thickBot="1">
      <c r="K5" s="436" t="s">
        <v>5</v>
      </c>
      <c r="L5" s="436"/>
      <c r="V5" s="436" t="s">
        <v>6</v>
      </c>
      <c r="W5" s="436"/>
      <c r="AI5" s="436" t="s">
        <v>25</v>
      </c>
      <c r="AJ5" s="436"/>
      <c r="AZ5" s="436" t="s">
        <v>36</v>
      </c>
      <c r="BA5" s="436"/>
      <c r="BN5" s="436" t="s">
        <v>162</v>
      </c>
      <c r="BO5" s="436"/>
      <c r="BY5" s="436" t="s">
        <v>5</v>
      </c>
      <c r="BZ5" s="436"/>
      <c r="CI5" s="437" t="s">
        <v>163</v>
      </c>
      <c r="CJ5" s="437"/>
      <c r="CK5" s="437"/>
      <c r="CL5" s="437"/>
      <c r="DA5" s="436" t="s">
        <v>155</v>
      </c>
      <c r="DB5" s="436"/>
      <c r="DC5" s="436"/>
      <c r="DD5" s="436"/>
      <c r="DE5" s="436"/>
      <c r="DF5" s="436"/>
      <c r="DI5" s="436" t="s">
        <v>148</v>
      </c>
      <c r="DJ5" s="436"/>
      <c r="DK5" s="436"/>
      <c r="DL5" s="436"/>
      <c r="DM5" s="436"/>
      <c r="DN5" s="436"/>
      <c r="DO5" s="436"/>
      <c r="DP5" s="436"/>
      <c r="DQ5" s="436"/>
      <c r="DR5" s="436"/>
      <c r="DS5" s="436"/>
      <c r="DT5" s="436"/>
      <c r="DU5" s="436"/>
      <c r="DV5" s="436"/>
      <c r="DW5" s="436"/>
      <c r="DX5" s="436"/>
      <c r="DY5" s="436"/>
      <c r="EU5" s="436" t="s">
        <v>5</v>
      </c>
      <c r="EV5" s="436"/>
      <c r="FF5" s="436" t="s">
        <v>164</v>
      </c>
      <c r="FG5" s="436"/>
      <c r="FS5" s="436" t="s">
        <v>228</v>
      </c>
      <c r="FT5" s="436"/>
      <c r="GH5" s="436" t="s">
        <v>229</v>
      </c>
      <c r="GI5" s="436"/>
      <c r="GX5" s="436" t="s">
        <v>230</v>
      </c>
      <c r="GY5" s="436"/>
    </row>
    <row r="6" spans="1:207" ht="16.5" thickBot="1">
      <c r="A6" s="438" t="s">
        <v>329</v>
      </c>
      <c r="B6" s="439"/>
      <c r="C6" s="439"/>
      <c r="D6" s="439"/>
      <c r="E6" s="439"/>
      <c r="F6" s="129" t="s">
        <v>330</v>
      </c>
      <c r="G6" s="130"/>
      <c r="H6" s="131"/>
      <c r="DI6" s="403" t="s">
        <v>127</v>
      </c>
      <c r="DJ6" s="404"/>
      <c r="DK6" s="404"/>
      <c r="DL6" s="404" t="s">
        <v>139</v>
      </c>
      <c r="DM6" s="404"/>
      <c r="DN6" s="404"/>
      <c r="DO6" s="395" t="s">
        <v>140</v>
      </c>
      <c r="DP6" s="395"/>
      <c r="DQ6" s="395" t="s">
        <v>124</v>
      </c>
      <c r="DR6" s="395"/>
      <c r="DS6" s="395" t="s">
        <v>125</v>
      </c>
      <c r="DT6" s="395"/>
      <c r="DU6" s="395" t="s">
        <v>126</v>
      </c>
      <c r="DV6" s="395"/>
      <c r="DW6" s="395" t="s">
        <v>151</v>
      </c>
      <c r="DX6" s="395"/>
      <c r="DY6" s="395" t="s">
        <v>152</v>
      </c>
      <c r="DZ6" s="395"/>
      <c r="EA6" s="395" t="s">
        <v>92</v>
      </c>
      <c r="EB6" s="395"/>
      <c r="EC6" s="395" t="s">
        <v>93</v>
      </c>
      <c r="ED6" s="396"/>
      <c r="EE6" s="409" t="s">
        <v>97</v>
      </c>
      <c r="EF6" s="411"/>
      <c r="EG6" s="412" t="s">
        <v>72</v>
      </c>
      <c r="EH6" s="395" t="s">
        <v>131</v>
      </c>
      <c r="EI6" s="396"/>
      <c r="EJ6" s="414" t="s">
        <v>142</v>
      </c>
      <c r="EK6" s="408"/>
      <c r="EL6" s="409" t="s">
        <v>141</v>
      </c>
      <c r="EM6" s="411"/>
      <c r="EN6" s="407" t="s">
        <v>145</v>
      </c>
      <c r="EO6" s="408"/>
      <c r="EP6" s="409" t="s">
        <v>130</v>
      </c>
      <c r="EQ6" s="410"/>
    </row>
    <row r="7" spans="1:207" ht="16.5" thickBot="1">
      <c r="A7" s="132" t="s">
        <v>4</v>
      </c>
      <c r="B7" s="133"/>
      <c r="C7" s="133"/>
      <c r="D7" s="133"/>
      <c r="E7" s="133"/>
      <c r="F7" s="134" t="s">
        <v>331</v>
      </c>
      <c r="G7" s="135"/>
      <c r="H7" s="136"/>
      <c r="DA7" s="415" t="s">
        <v>137</v>
      </c>
      <c r="DB7" s="416"/>
      <c r="DC7" s="416"/>
      <c r="DD7" s="416"/>
      <c r="DE7" s="417"/>
      <c r="DI7" s="405"/>
      <c r="DJ7" s="406"/>
      <c r="DK7" s="406"/>
      <c r="DL7" s="406"/>
      <c r="DM7" s="406"/>
      <c r="DN7" s="406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8"/>
      <c r="EE7" s="153"/>
      <c r="EF7" s="344"/>
      <c r="EG7" s="413"/>
      <c r="EH7" s="397"/>
      <c r="EI7" s="398"/>
      <c r="EJ7" s="153"/>
      <c r="EK7" s="154"/>
      <c r="EL7" s="153"/>
      <c r="EM7" s="344"/>
      <c r="EN7" s="154"/>
      <c r="EO7" s="154"/>
      <c r="EP7" s="153"/>
      <c r="EQ7" s="155"/>
    </row>
    <row r="8" spans="1:207" ht="19.5" thickTop="1" thickBot="1">
      <c r="A8" s="441" t="s">
        <v>21</v>
      </c>
      <c r="B8" s="442"/>
      <c r="C8" s="442"/>
      <c r="D8" s="442"/>
      <c r="E8" s="442"/>
      <c r="F8" s="442"/>
      <c r="G8" s="442"/>
      <c r="H8" s="443"/>
      <c r="DA8" s="39" t="s">
        <v>134</v>
      </c>
      <c r="DB8" s="401" t="s">
        <v>135</v>
      </c>
      <c r="DC8" s="401"/>
      <c r="DD8" s="401" t="s">
        <v>136</v>
      </c>
      <c r="DE8" s="402"/>
      <c r="DI8" s="393"/>
      <c r="DJ8" s="394"/>
      <c r="DK8" s="381"/>
      <c r="DL8" s="380"/>
      <c r="DM8" s="394"/>
      <c r="DN8" s="381"/>
      <c r="DO8" s="380"/>
      <c r="DP8" s="381"/>
      <c r="DQ8" s="380"/>
      <c r="DR8" s="381"/>
      <c r="DS8" s="380"/>
      <c r="DT8" s="381"/>
      <c r="DU8" s="380"/>
      <c r="DV8" s="381"/>
      <c r="DW8" s="380"/>
      <c r="DX8" s="381"/>
      <c r="DY8" s="380"/>
      <c r="DZ8" s="381"/>
      <c r="EA8" s="382"/>
      <c r="EB8" s="383"/>
      <c r="EC8" s="382"/>
      <c r="ED8" s="384"/>
      <c r="EE8" s="310"/>
      <c r="EF8" s="311"/>
      <c r="EG8" s="38"/>
      <c r="EH8" s="330">
        <f>IF(EA8=EC8,EA8*EE8*EG8,(((EA8+EC8)/2)*EE8)*EG8)</f>
        <v>0</v>
      </c>
      <c r="EI8" s="378"/>
      <c r="EJ8" s="226">
        <f>MAX(DI8+DL8,DO8)+DQ8+DS8+DU8</f>
        <v>0</v>
      </c>
      <c r="EK8" s="142"/>
      <c r="EL8" s="231"/>
      <c r="EM8" s="232"/>
      <c r="EN8" s="226">
        <f>EJ8*EL8</f>
        <v>0</v>
      </c>
      <c r="EO8" s="142"/>
      <c r="EP8" s="379" t="str">
        <f>IF(EH8&gt;EN8,"Verifica","Não verifica")</f>
        <v>Não verifica</v>
      </c>
      <c r="EQ8" s="146"/>
    </row>
    <row r="9" spans="1:207" ht="15.75" thickBot="1">
      <c r="A9" s="430" t="s">
        <v>22</v>
      </c>
      <c r="B9" s="431"/>
      <c r="C9" s="431"/>
      <c r="D9" s="431"/>
      <c r="E9" s="431"/>
      <c r="F9" s="431"/>
      <c r="G9" s="431"/>
      <c r="H9" s="432"/>
      <c r="DA9" s="40"/>
      <c r="DB9" s="385"/>
      <c r="DC9" s="385"/>
      <c r="DD9" s="386">
        <f>IF(DB9=DB10,(ABS(DA10-DA9)*DB9),IF(DB9&gt;DB10,(ABS(DA10-DA9)*DB10),IF(DB9&lt;DB10,(ABS(DA10-DA9)*DB9))))</f>
        <v>0</v>
      </c>
      <c r="DE9" s="387"/>
    </row>
    <row r="10" spans="1:207" ht="15.75" thickBot="1">
      <c r="A10" s="433"/>
      <c r="B10" s="434"/>
      <c r="C10" s="434"/>
      <c r="D10" s="434"/>
      <c r="E10" s="434"/>
      <c r="F10" s="434"/>
      <c r="G10" s="434"/>
      <c r="H10" s="435"/>
      <c r="DA10" s="37"/>
      <c r="DB10" s="392"/>
      <c r="DC10" s="392"/>
      <c r="DD10" s="388"/>
      <c r="DE10" s="389"/>
      <c r="DI10" s="403" t="s">
        <v>127</v>
      </c>
      <c r="DJ10" s="404"/>
      <c r="DK10" s="404"/>
      <c r="DL10" s="404" t="s">
        <v>128</v>
      </c>
      <c r="DM10" s="404"/>
      <c r="DN10" s="404"/>
      <c r="DO10" s="395" t="s">
        <v>129</v>
      </c>
      <c r="DP10" s="395"/>
      <c r="DQ10" s="395" t="s">
        <v>124</v>
      </c>
      <c r="DR10" s="395"/>
      <c r="DS10" s="395" t="s">
        <v>125</v>
      </c>
      <c r="DT10" s="395"/>
      <c r="DU10" s="395" t="s">
        <v>126</v>
      </c>
      <c r="DV10" s="395"/>
      <c r="DW10" s="395" t="s">
        <v>151</v>
      </c>
      <c r="DX10" s="395"/>
      <c r="DY10" s="395" t="s">
        <v>152</v>
      </c>
      <c r="DZ10" s="395"/>
      <c r="EA10" s="395" t="s">
        <v>101</v>
      </c>
      <c r="EB10" s="395"/>
      <c r="EC10" s="395" t="s">
        <v>102</v>
      </c>
      <c r="ED10" s="396"/>
      <c r="EE10" s="409" t="s">
        <v>99</v>
      </c>
      <c r="EF10" s="411"/>
      <c r="EG10" s="412" t="s">
        <v>72</v>
      </c>
      <c r="EH10" s="395" t="s">
        <v>133</v>
      </c>
      <c r="EI10" s="396"/>
      <c r="EJ10" s="414" t="s">
        <v>143</v>
      </c>
      <c r="EK10" s="408"/>
      <c r="EL10" s="409" t="s">
        <v>141</v>
      </c>
      <c r="EM10" s="411"/>
      <c r="EN10" s="407" t="s">
        <v>146</v>
      </c>
      <c r="EO10" s="408"/>
      <c r="EP10" s="409" t="s">
        <v>130</v>
      </c>
      <c r="EQ10" s="410"/>
    </row>
    <row r="11" spans="1:207" ht="15.75" thickBot="1">
      <c r="A11" s="430" t="s">
        <v>23</v>
      </c>
      <c r="B11" s="431"/>
      <c r="C11" s="431"/>
      <c r="D11" s="431"/>
      <c r="E11" s="431"/>
      <c r="F11" s="431"/>
      <c r="G11" s="431"/>
      <c r="H11" s="432"/>
      <c r="DI11" s="405"/>
      <c r="DJ11" s="406"/>
      <c r="DK11" s="406"/>
      <c r="DL11" s="406"/>
      <c r="DM11" s="406"/>
      <c r="DN11" s="406"/>
      <c r="DO11" s="397"/>
      <c r="DP11" s="397"/>
      <c r="DQ11" s="397"/>
      <c r="DR11" s="397"/>
      <c r="DS11" s="397"/>
      <c r="DT11" s="397"/>
      <c r="DU11" s="397"/>
      <c r="DV11" s="397"/>
      <c r="DW11" s="397"/>
      <c r="DX11" s="397"/>
      <c r="DY11" s="397"/>
      <c r="DZ11" s="397"/>
      <c r="EA11" s="397"/>
      <c r="EB11" s="397"/>
      <c r="EC11" s="397"/>
      <c r="ED11" s="398"/>
      <c r="EE11" s="153"/>
      <c r="EF11" s="344"/>
      <c r="EG11" s="413"/>
      <c r="EH11" s="397"/>
      <c r="EI11" s="398"/>
      <c r="EJ11" s="153"/>
      <c r="EK11" s="154"/>
      <c r="EL11" s="153"/>
      <c r="EM11" s="344"/>
      <c r="EN11" s="154"/>
      <c r="EO11" s="154"/>
      <c r="EP11" s="153"/>
      <c r="EQ11" s="155"/>
    </row>
    <row r="12" spans="1:207" ht="19.5" thickBot="1">
      <c r="A12" s="433"/>
      <c r="B12" s="434"/>
      <c r="C12" s="434"/>
      <c r="D12" s="434"/>
      <c r="E12" s="434"/>
      <c r="F12" s="434"/>
      <c r="G12" s="434"/>
      <c r="H12" s="435"/>
      <c r="AV12" s="459" t="s">
        <v>261</v>
      </c>
      <c r="AW12" s="459"/>
      <c r="AX12" s="459"/>
      <c r="AY12" s="459"/>
      <c r="AZ12" s="459"/>
      <c r="BC12" s="460" t="s">
        <v>54</v>
      </c>
      <c r="BD12" s="460"/>
      <c r="BE12" s="460"/>
      <c r="BF12" s="460"/>
      <c r="DA12" s="415" t="s">
        <v>153</v>
      </c>
      <c r="DB12" s="416"/>
      <c r="DC12" s="416"/>
      <c r="DD12" s="416"/>
      <c r="DE12" s="417"/>
      <c r="DI12" s="393"/>
      <c r="DJ12" s="394"/>
      <c r="DK12" s="381"/>
      <c r="DL12" s="380"/>
      <c r="DM12" s="394"/>
      <c r="DN12" s="381"/>
      <c r="DO12" s="380"/>
      <c r="DP12" s="381"/>
      <c r="DQ12" s="380"/>
      <c r="DR12" s="381"/>
      <c r="DS12" s="380"/>
      <c r="DT12" s="381"/>
      <c r="DU12" s="380"/>
      <c r="DV12" s="381"/>
      <c r="DW12" s="380"/>
      <c r="DX12" s="381"/>
      <c r="DY12" s="380"/>
      <c r="DZ12" s="381"/>
      <c r="EA12" s="382"/>
      <c r="EB12" s="383"/>
      <c r="EC12" s="382"/>
      <c r="ED12" s="384"/>
      <c r="EE12" s="310"/>
      <c r="EF12" s="311"/>
      <c r="EG12" s="38"/>
      <c r="EH12" s="330">
        <f>IF(EA12=EC12,EA12*EE12*EG12,(((EA12+EC12)/2)*EE12)*EG12)</f>
        <v>0</v>
      </c>
      <c r="EI12" s="378"/>
      <c r="EJ12" s="226">
        <f>MAX(DI12+DL12,DO12)+DQ12+DS12+DU12</f>
        <v>0</v>
      </c>
      <c r="EK12" s="142"/>
      <c r="EL12" s="231"/>
      <c r="EM12" s="232"/>
      <c r="EN12" s="226">
        <f>EJ12*EL12</f>
        <v>0</v>
      </c>
      <c r="EO12" s="142"/>
      <c r="EP12" s="379" t="str">
        <f>IF(EH12&gt;EN12,"Verifica","Não verifica")</f>
        <v>Não verifica</v>
      </c>
      <c r="EQ12" s="146"/>
    </row>
    <row r="13" spans="1:207" ht="19.5" thickTop="1" thickBot="1">
      <c r="A13" s="433"/>
      <c r="B13" s="434"/>
      <c r="C13" s="434"/>
      <c r="D13" s="434"/>
      <c r="E13" s="434"/>
      <c r="F13" s="434"/>
      <c r="G13" s="434"/>
      <c r="H13" s="435"/>
      <c r="DA13" s="41" t="s">
        <v>134</v>
      </c>
      <c r="DB13" s="420" t="s">
        <v>135</v>
      </c>
      <c r="DC13" s="420"/>
      <c r="DD13" s="420" t="s">
        <v>136</v>
      </c>
      <c r="DE13" s="421"/>
    </row>
    <row r="14" spans="1:207">
      <c r="A14" s="430" t="s">
        <v>328</v>
      </c>
      <c r="B14" s="431"/>
      <c r="C14" s="431"/>
      <c r="D14" s="431"/>
      <c r="E14" s="431"/>
      <c r="F14" s="431"/>
      <c r="G14" s="431"/>
      <c r="H14" s="432"/>
      <c r="AV14" s="447" t="s">
        <v>265</v>
      </c>
      <c r="AW14" s="450" t="s">
        <v>266</v>
      </c>
      <c r="AX14" s="453" t="s">
        <v>262</v>
      </c>
      <c r="AY14" s="450" t="s">
        <v>263</v>
      </c>
      <c r="AZ14" s="456" t="s">
        <v>45</v>
      </c>
      <c r="BC14" s="424" t="s">
        <v>46</v>
      </c>
      <c r="BD14" s="426" t="s">
        <v>55</v>
      </c>
      <c r="BE14" s="427"/>
      <c r="DA14" s="40"/>
      <c r="DB14" s="385"/>
      <c r="DC14" s="385"/>
      <c r="DD14" s="386">
        <f>((ABS(DB14-DB15))*(ABS(DA15-DA14)))/2</f>
        <v>0</v>
      </c>
      <c r="DE14" s="387"/>
      <c r="DI14" s="403" t="s">
        <v>127</v>
      </c>
      <c r="DJ14" s="404"/>
      <c r="DK14" s="404"/>
      <c r="DL14" s="404" t="s">
        <v>128</v>
      </c>
      <c r="DM14" s="404"/>
      <c r="DN14" s="404"/>
      <c r="DO14" s="395" t="s">
        <v>129</v>
      </c>
      <c r="DP14" s="395"/>
      <c r="DQ14" s="395" t="s">
        <v>124</v>
      </c>
      <c r="DR14" s="395"/>
      <c r="DS14" s="395" t="s">
        <v>125</v>
      </c>
      <c r="DT14" s="395"/>
      <c r="DU14" s="395" t="s">
        <v>126</v>
      </c>
      <c r="DV14" s="395"/>
      <c r="DW14" s="395" t="s">
        <v>151</v>
      </c>
      <c r="DX14" s="395"/>
      <c r="DY14" s="395" t="s">
        <v>152</v>
      </c>
      <c r="DZ14" s="395"/>
      <c r="EA14" s="395" t="s">
        <v>106</v>
      </c>
      <c r="EB14" s="395"/>
      <c r="EC14" s="395" t="s">
        <v>107</v>
      </c>
      <c r="ED14" s="396"/>
      <c r="EE14" s="409" t="s">
        <v>104</v>
      </c>
      <c r="EF14" s="411"/>
      <c r="EG14" s="412" t="s">
        <v>72</v>
      </c>
      <c r="EH14" s="395" t="s">
        <v>132</v>
      </c>
      <c r="EI14" s="396"/>
      <c r="EJ14" s="414" t="s">
        <v>144</v>
      </c>
      <c r="EK14" s="408"/>
      <c r="EL14" s="409" t="s">
        <v>141</v>
      </c>
      <c r="EM14" s="411"/>
      <c r="EN14" s="407" t="s">
        <v>147</v>
      </c>
      <c r="EO14" s="408"/>
      <c r="EP14" s="409" t="s">
        <v>130</v>
      </c>
      <c r="EQ14" s="410"/>
    </row>
    <row r="15" spans="1:207" ht="15.75" thickBot="1">
      <c r="A15" s="433"/>
      <c r="B15" s="434"/>
      <c r="C15" s="434"/>
      <c r="D15" s="434"/>
      <c r="E15" s="434"/>
      <c r="F15" s="434"/>
      <c r="G15" s="434"/>
      <c r="H15" s="435"/>
      <c r="AV15" s="448"/>
      <c r="AW15" s="451"/>
      <c r="AX15" s="454"/>
      <c r="AY15" s="451"/>
      <c r="AZ15" s="457"/>
      <c r="BC15" s="425"/>
      <c r="BD15" s="428"/>
      <c r="BE15" s="429"/>
      <c r="DA15" s="5"/>
      <c r="DB15" s="422"/>
      <c r="DC15" s="423"/>
      <c r="DD15" s="388"/>
      <c r="DE15" s="389"/>
      <c r="DI15" s="405"/>
      <c r="DJ15" s="406"/>
      <c r="DK15" s="406"/>
      <c r="DL15" s="406"/>
      <c r="DM15" s="406"/>
      <c r="DN15" s="406"/>
      <c r="DO15" s="397"/>
      <c r="DP15" s="397"/>
      <c r="DQ15" s="397"/>
      <c r="DR15" s="397"/>
      <c r="DS15" s="397"/>
      <c r="DT15" s="397"/>
      <c r="DU15" s="397"/>
      <c r="DV15" s="397"/>
      <c r="DW15" s="397"/>
      <c r="DX15" s="397"/>
      <c r="DY15" s="397"/>
      <c r="DZ15" s="397"/>
      <c r="EA15" s="397"/>
      <c r="EB15" s="397"/>
      <c r="EC15" s="397"/>
      <c r="ED15" s="398"/>
      <c r="EE15" s="153"/>
      <c r="EF15" s="344"/>
      <c r="EG15" s="413"/>
      <c r="EH15" s="397"/>
      <c r="EI15" s="398"/>
      <c r="EJ15" s="153"/>
      <c r="EK15" s="154"/>
      <c r="EL15" s="153"/>
      <c r="EM15" s="344"/>
      <c r="EN15" s="154"/>
      <c r="EO15" s="154"/>
      <c r="EP15" s="153"/>
      <c r="EQ15" s="155"/>
    </row>
    <row r="16" spans="1:207" ht="15.75" thickBot="1">
      <c r="A16" s="433"/>
      <c r="B16" s="434"/>
      <c r="C16" s="434"/>
      <c r="D16" s="434"/>
      <c r="E16" s="434"/>
      <c r="F16" s="434"/>
      <c r="G16" s="434"/>
      <c r="H16" s="435"/>
      <c r="AV16" s="449"/>
      <c r="AW16" s="452"/>
      <c r="AX16" s="455"/>
      <c r="AY16" s="452"/>
      <c r="AZ16" s="458"/>
      <c r="BC16" s="36"/>
      <c r="BD16" s="418">
        <v>0.44600000000000001</v>
      </c>
      <c r="BE16" s="419"/>
      <c r="DI16" s="393"/>
      <c r="DJ16" s="394"/>
      <c r="DK16" s="381"/>
      <c r="DL16" s="380"/>
      <c r="DM16" s="394"/>
      <c r="DN16" s="381"/>
      <c r="DO16" s="380"/>
      <c r="DP16" s="381"/>
      <c r="DQ16" s="380"/>
      <c r="DR16" s="381"/>
      <c r="DS16" s="380"/>
      <c r="DT16" s="381"/>
      <c r="DU16" s="380"/>
      <c r="DV16" s="381"/>
      <c r="DW16" s="380"/>
      <c r="DX16" s="381"/>
      <c r="DY16" s="380"/>
      <c r="DZ16" s="381"/>
      <c r="EA16" s="382"/>
      <c r="EB16" s="383"/>
      <c r="EC16" s="382"/>
      <c r="ED16" s="384"/>
      <c r="EE16" s="310"/>
      <c r="EF16" s="311"/>
      <c r="EG16" s="38"/>
      <c r="EH16" s="330">
        <f>IF(EA16=EC16,EA16*EE16*EG16,(((EA16+EC16)/2)*EE16)*EG16)</f>
        <v>0</v>
      </c>
      <c r="EI16" s="378"/>
      <c r="EJ16" s="226">
        <f>MAX(DI16+DL16,DO16)+DQ16+DS16+DU16</f>
        <v>0</v>
      </c>
      <c r="EK16" s="142"/>
      <c r="EL16" s="231"/>
      <c r="EM16" s="232"/>
      <c r="EN16" s="226">
        <f>EJ16*EL16</f>
        <v>0</v>
      </c>
      <c r="EO16" s="142"/>
      <c r="EP16" s="379" t="str">
        <f>IF(EH16&gt;EN16,"Verifica","Não verifica")</f>
        <v>Não verifica</v>
      </c>
      <c r="EQ16" s="146"/>
    </row>
    <row r="17" spans="1:177" ht="16.5" thickBot="1">
      <c r="A17" s="433"/>
      <c r="B17" s="434"/>
      <c r="C17" s="434"/>
      <c r="D17" s="434"/>
      <c r="E17" s="434"/>
      <c r="F17" s="434"/>
      <c r="G17" s="434"/>
      <c r="H17" s="435"/>
      <c r="AV17" s="90">
        <v>82.5</v>
      </c>
      <c r="AW17" s="89">
        <v>27</v>
      </c>
      <c r="AX17" s="91">
        <f>(AV17/AW17)^(1/3)</f>
        <v>1.4510979485289353</v>
      </c>
      <c r="AY17" s="89">
        <v>1</v>
      </c>
      <c r="AZ17" s="92">
        <f>AX17*AY17</f>
        <v>1.4510979485289353</v>
      </c>
      <c r="BC17" s="4">
        <f>BA26</f>
        <v>5.9269469331495515</v>
      </c>
      <c r="BD17" s="461" t="e">
        <f>BD16+(((BC17-BC16)*(BD18-BD16))/(BC18-BC16))</f>
        <v>#DIV/0!</v>
      </c>
      <c r="BE17" s="462"/>
      <c r="DA17" s="415" t="s">
        <v>154</v>
      </c>
      <c r="DB17" s="416"/>
      <c r="DC17" s="416"/>
      <c r="DD17" s="416"/>
      <c r="DE17" s="417"/>
    </row>
    <row r="18" spans="1:177" ht="18.75" thickBot="1">
      <c r="A18" s="444"/>
      <c r="B18" s="445"/>
      <c r="C18" s="445"/>
      <c r="D18" s="445"/>
      <c r="E18" s="445"/>
      <c r="F18" s="445"/>
      <c r="G18" s="445"/>
      <c r="H18" s="446"/>
      <c r="AV18" s="93" t="s">
        <v>264</v>
      </c>
      <c r="AX18" s="94"/>
      <c r="AY18" s="94"/>
      <c r="AZ18" s="94"/>
      <c r="BC18" s="5"/>
      <c r="BD18" s="399">
        <v>0.36199999999999999</v>
      </c>
      <c r="BE18" s="400"/>
      <c r="DA18" s="39" t="s">
        <v>134</v>
      </c>
      <c r="DB18" s="401" t="s">
        <v>135</v>
      </c>
      <c r="DC18" s="401"/>
      <c r="DD18" s="401" t="s">
        <v>136</v>
      </c>
      <c r="DE18" s="402"/>
      <c r="DI18" s="403" t="s">
        <v>127</v>
      </c>
      <c r="DJ18" s="404"/>
      <c r="DK18" s="404"/>
      <c r="DL18" s="404" t="s">
        <v>128</v>
      </c>
      <c r="DM18" s="404"/>
      <c r="DN18" s="404"/>
      <c r="DO18" s="395" t="s">
        <v>129</v>
      </c>
      <c r="DP18" s="395"/>
      <c r="DQ18" s="395" t="s">
        <v>124</v>
      </c>
      <c r="DR18" s="395"/>
      <c r="DS18" s="395" t="s">
        <v>125</v>
      </c>
      <c r="DT18" s="395"/>
      <c r="DU18" s="395" t="s">
        <v>126</v>
      </c>
      <c r="DV18" s="395"/>
      <c r="DW18" s="395" t="s">
        <v>151</v>
      </c>
      <c r="DX18" s="395"/>
      <c r="DY18" s="395" t="s">
        <v>152</v>
      </c>
      <c r="DZ18" s="395"/>
      <c r="EA18" s="395" t="s">
        <v>149</v>
      </c>
      <c r="EB18" s="395"/>
      <c r="EC18" s="395" t="s">
        <v>150</v>
      </c>
      <c r="ED18" s="396"/>
      <c r="EE18" s="409" t="s">
        <v>159</v>
      </c>
      <c r="EF18" s="411"/>
      <c r="EG18" s="412" t="s">
        <v>72</v>
      </c>
      <c r="EH18" s="395" t="s">
        <v>156</v>
      </c>
      <c r="EI18" s="396"/>
      <c r="EJ18" s="414" t="s">
        <v>157</v>
      </c>
      <c r="EK18" s="408"/>
      <c r="EL18" s="409" t="s">
        <v>141</v>
      </c>
      <c r="EM18" s="411"/>
      <c r="EN18" s="407" t="s">
        <v>158</v>
      </c>
      <c r="EO18" s="408"/>
      <c r="EP18" s="409" t="s">
        <v>130</v>
      </c>
      <c r="EQ18" s="410"/>
    </row>
    <row r="19" spans="1:177" ht="15.75" thickBot="1">
      <c r="AE19" s="3"/>
      <c r="AF19" s="3"/>
      <c r="AG19" s="3"/>
      <c r="DA19" s="40"/>
      <c r="DB19" s="385"/>
      <c r="DC19" s="385"/>
      <c r="DD19" s="386">
        <f>((DB20+DB19)/2)*(ABS(DA19-DA20))</f>
        <v>0</v>
      </c>
      <c r="DE19" s="387"/>
      <c r="DG19" s="42"/>
      <c r="DI19" s="405"/>
      <c r="DJ19" s="406"/>
      <c r="DK19" s="406"/>
      <c r="DL19" s="406"/>
      <c r="DM19" s="406"/>
      <c r="DN19" s="406"/>
      <c r="DO19" s="397"/>
      <c r="DP19" s="397"/>
      <c r="DQ19" s="397"/>
      <c r="DR19" s="397"/>
      <c r="DS19" s="397"/>
      <c r="DT19" s="397"/>
      <c r="DU19" s="397"/>
      <c r="DV19" s="397"/>
      <c r="DW19" s="397"/>
      <c r="DX19" s="397"/>
      <c r="DY19" s="397"/>
      <c r="DZ19" s="397"/>
      <c r="EA19" s="397"/>
      <c r="EB19" s="397"/>
      <c r="EC19" s="397"/>
      <c r="ED19" s="398"/>
      <c r="EE19" s="153"/>
      <c r="EF19" s="344"/>
      <c r="EG19" s="413"/>
      <c r="EH19" s="397"/>
      <c r="EI19" s="398"/>
      <c r="EJ19" s="153"/>
      <c r="EK19" s="154"/>
      <c r="EL19" s="153"/>
      <c r="EM19" s="344"/>
      <c r="EN19" s="154"/>
      <c r="EO19" s="154"/>
      <c r="EP19" s="153"/>
      <c r="EQ19" s="155"/>
    </row>
    <row r="20" spans="1:177" ht="15.75" thickBot="1">
      <c r="AE20" s="390" t="s">
        <v>24</v>
      </c>
      <c r="AF20" s="390"/>
      <c r="AG20" s="390"/>
      <c r="DA20" s="37"/>
      <c r="DB20" s="392"/>
      <c r="DC20" s="392"/>
      <c r="DD20" s="388"/>
      <c r="DE20" s="389"/>
      <c r="DI20" s="393"/>
      <c r="DJ20" s="394"/>
      <c r="DK20" s="381"/>
      <c r="DL20" s="380"/>
      <c r="DM20" s="394"/>
      <c r="DN20" s="381"/>
      <c r="DO20" s="380"/>
      <c r="DP20" s="381"/>
      <c r="DQ20" s="380"/>
      <c r="DR20" s="381"/>
      <c r="DS20" s="380"/>
      <c r="DT20" s="381"/>
      <c r="DU20" s="380"/>
      <c r="DV20" s="381"/>
      <c r="DW20" s="380"/>
      <c r="DX20" s="381"/>
      <c r="DY20" s="380"/>
      <c r="DZ20" s="381"/>
      <c r="EA20" s="382"/>
      <c r="EB20" s="383"/>
      <c r="EC20" s="382"/>
      <c r="ED20" s="384"/>
      <c r="EE20" s="310"/>
      <c r="EF20" s="311"/>
      <c r="EG20" s="38"/>
      <c r="EH20" s="330">
        <f>IF(EA20=EC20,EA20*EE20*EG20,(((EA20+EC20)/2)*EE20)*EG20)</f>
        <v>0</v>
      </c>
      <c r="EI20" s="378"/>
      <c r="EJ20" s="226">
        <f>MAX(DI20+DL20,DO20)+DQ20+DS20+DU20</f>
        <v>0</v>
      </c>
      <c r="EK20" s="142"/>
      <c r="EL20" s="231"/>
      <c r="EM20" s="232"/>
      <c r="EN20" s="226">
        <f>EJ20*EL20</f>
        <v>0</v>
      </c>
      <c r="EO20" s="142"/>
      <c r="EP20" s="379" t="str">
        <f>IF(EH20&gt;EN20,"Verifica","Não verifica")</f>
        <v>Não verifica</v>
      </c>
      <c r="EQ20" s="146"/>
    </row>
    <row r="21" spans="1:177">
      <c r="AE21" s="390"/>
      <c r="AF21" s="390"/>
      <c r="AG21" s="390"/>
    </row>
    <row r="22" spans="1:177" ht="15.75" thickBot="1">
      <c r="AE22" s="391"/>
      <c r="AF22" s="391"/>
      <c r="AG22" s="391"/>
    </row>
    <row r="23" spans="1:177" ht="16.5" thickBot="1">
      <c r="A23" s="138" t="s">
        <v>27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40"/>
      <c r="AH23" s="138" t="s">
        <v>26</v>
      </c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40"/>
      <c r="AZ23" s="138" t="s">
        <v>37</v>
      </c>
      <c r="BA23" s="139"/>
      <c r="BB23" s="139"/>
      <c r="BC23" s="139"/>
      <c r="BD23" s="139"/>
      <c r="BE23" s="139"/>
      <c r="BF23" s="139"/>
      <c r="BG23" s="139"/>
      <c r="BH23" s="140"/>
      <c r="BI23" s="138" t="s">
        <v>43</v>
      </c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40"/>
      <c r="BY23" s="138" t="s">
        <v>52</v>
      </c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40"/>
    </row>
    <row r="24" spans="1:177" ht="16.5" customHeight="1" thickTop="1" thickBot="1">
      <c r="A24" s="376" t="s">
        <v>1</v>
      </c>
      <c r="B24" s="147" t="s">
        <v>3</v>
      </c>
      <c r="C24" s="149"/>
      <c r="D24" s="367" t="s">
        <v>8</v>
      </c>
      <c r="E24" s="371"/>
      <c r="F24" s="147" t="s">
        <v>9</v>
      </c>
      <c r="G24" s="148"/>
      <c r="H24" s="147" t="s">
        <v>16</v>
      </c>
      <c r="I24" s="148"/>
      <c r="J24" s="149"/>
      <c r="K24" s="147" t="s">
        <v>14</v>
      </c>
      <c r="L24" s="149"/>
      <c r="M24" s="147" t="s">
        <v>275</v>
      </c>
      <c r="N24" s="149"/>
      <c r="O24" s="367" t="s">
        <v>15</v>
      </c>
      <c r="P24" s="371"/>
      <c r="Q24" s="147" t="s">
        <v>276</v>
      </c>
      <c r="R24" s="148"/>
      <c r="S24" s="365" t="s">
        <v>10</v>
      </c>
      <c r="T24" s="348"/>
      <c r="U24" s="366"/>
      <c r="V24" s="372" t="s">
        <v>32</v>
      </c>
      <c r="W24" s="147" t="s">
        <v>267</v>
      </c>
      <c r="X24" s="148"/>
      <c r="Y24" s="148"/>
      <c r="Z24" s="367" t="s">
        <v>17</v>
      </c>
      <c r="AA24" s="367" t="s">
        <v>56</v>
      </c>
      <c r="AB24" s="367" t="s">
        <v>18</v>
      </c>
      <c r="AC24" s="367" t="s">
        <v>19</v>
      </c>
      <c r="AD24" s="369" t="s">
        <v>20</v>
      </c>
      <c r="AE24" s="147" t="s">
        <v>108</v>
      </c>
      <c r="AF24" s="148"/>
      <c r="AG24" s="181"/>
      <c r="AH24" s="182" t="s">
        <v>28</v>
      </c>
      <c r="AI24" s="362"/>
      <c r="AJ24" s="365" t="s">
        <v>29</v>
      </c>
      <c r="AK24" s="366"/>
      <c r="AL24" s="147" t="s">
        <v>31</v>
      </c>
      <c r="AM24" s="147" t="s">
        <v>34</v>
      </c>
      <c r="AN24" s="147" t="s">
        <v>33</v>
      </c>
      <c r="AO24" s="374" t="s">
        <v>69</v>
      </c>
      <c r="AP24" s="147" t="s">
        <v>58</v>
      </c>
      <c r="AQ24" s="150" t="s">
        <v>70</v>
      </c>
      <c r="AR24" s="356"/>
      <c r="AS24" s="147" t="s">
        <v>35</v>
      </c>
      <c r="AT24" s="352" t="s">
        <v>47</v>
      </c>
      <c r="AU24" s="358" t="s">
        <v>274</v>
      </c>
      <c r="AV24" s="359"/>
      <c r="AW24" s="147" t="s">
        <v>57</v>
      </c>
      <c r="AX24" s="147" t="s">
        <v>71</v>
      </c>
      <c r="AY24" s="181"/>
      <c r="AZ24" s="182" t="s">
        <v>45</v>
      </c>
      <c r="BA24" s="352" t="s">
        <v>46</v>
      </c>
      <c r="BB24" s="354" t="s">
        <v>160</v>
      </c>
      <c r="BC24" s="350"/>
      <c r="BD24" s="355"/>
      <c r="BE24" s="147" t="s">
        <v>38</v>
      </c>
      <c r="BF24" s="147" t="s">
        <v>39</v>
      </c>
      <c r="BG24" s="147" t="s">
        <v>59</v>
      </c>
      <c r="BH24" s="345" t="s">
        <v>232</v>
      </c>
      <c r="BI24" s="347" t="s">
        <v>44</v>
      </c>
      <c r="BJ24" s="348"/>
      <c r="BK24" s="348"/>
      <c r="BL24" s="348"/>
      <c r="BM24" s="348"/>
      <c r="BN24" s="349" t="s">
        <v>49</v>
      </c>
      <c r="BO24" s="350"/>
      <c r="BP24" s="350"/>
      <c r="BQ24" s="350"/>
      <c r="BR24" s="350"/>
      <c r="BS24" s="350"/>
      <c r="BT24" s="350"/>
      <c r="BU24" s="350"/>
      <c r="BV24" s="350"/>
      <c r="BW24" s="350"/>
      <c r="BX24" s="351"/>
      <c r="BY24" s="182" t="s">
        <v>109</v>
      </c>
      <c r="BZ24" s="148"/>
      <c r="CA24" s="149"/>
      <c r="CB24" s="147" t="s">
        <v>167</v>
      </c>
      <c r="CC24" s="149"/>
      <c r="CD24" s="147" t="s">
        <v>114</v>
      </c>
      <c r="CE24" s="148"/>
      <c r="CF24" s="148"/>
      <c r="CG24" s="147" t="s">
        <v>110</v>
      </c>
      <c r="CH24" s="148"/>
      <c r="CI24" s="149"/>
      <c r="CJ24" s="147" t="s">
        <v>111</v>
      </c>
      <c r="CK24" s="148"/>
      <c r="CL24" s="149"/>
      <c r="CM24" s="147" t="s">
        <v>112</v>
      </c>
      <c r="CN24" s="149"/>
      <c r="CO24" s="147" t="s">
        <v>60</v>
      </c>
      <c r="CP24" s="149"/>
      <c r="CQ24" s="147" t="s">
        <v>116</v>
      </c>
      <c r="CR24" s="148"/>
      <c r="CS24" s="147" t="s">
        <v>113</v>
      </c>
      <c r="CT24" s="149"/>
      <c r="CU24" s="147" t="s">
        <v>311</v>
      </c>
      <c r="CV24" s="149"/>
      <c r="CW24" s="147" t="s">
        <v>68</v>
      </c>
      <c r="CX24" s="149"/>
      <c r="CY24" s="147" t="s">
        <v>138</v>
      </c>
      <c r="CZ24" s="148"/>
      <c r="DA24" s="148"/>
      <c r="DB24" s="147" t="s">
        <v>61</v>
      </c>
      <c r="DC24" s="148"/>
      <c r="DD24" s="149"/>
      <c r="DE24" s="147" t="s">
        <v>115</v>
      </c>
      <c r="DF24" s="149"/>
      <c r="DG24" s="147" t="s">
        <v>95</v>
      </c>
      <c r="DH24" s="148"/>
      <c r="DI24" s="149"/>
      <c r="DJ24" s="147" t="s">
        <v>96</v>
      </c>
      <c r="DK24" s="149"/>
      <c r="DL24" s="147" t="s">
        <v>97</v>
      </c>
      <c r="DM24" s="149"/>
      <c r="DN24" s="147" t="s">
        <v>94</v>
      </c>
      <c r="DO24" s="149"/>
      <c r="DP24" s="147" t="s">
        <v>92</v>
      </c>
      <c r="DQ24" s="149"/>
      <c r="DR24" s="147" t="s">
        <v>93</v>
      </c>
      <c r="DS24" s="149"/>
      <c r="DT24" s="147" t="s">
        <v>98</v>
      </c>
      <c r="DU24" s="149"/>
      <c r="DV24" s="147" t="s">
        <v>99</v>
      </c>
      <c r="DW24" s="149"/>
      <c r="DX24" s="147" t="s">
        <v>100</v>
      </c>
      <c r="DY24" s="149"/>
      <c r="DZ24" s="147" t="s">
        <v>101</v>
      </c>
      <c r="EA24" s="149"/>
      <c r="EB24" s="147" t="s">
        <v>102</v>
      </c>
      <c r="EC24" s="149"/>
      <c r="ED24" s="147" t="s">
        <v>103</v>
      </c>
      <c r="EE24" s="149"/>
      <c r="EF24" s="147" t="s">
        <v>104</v>
      </c>
      <c r="EG24" s="149"/>
      <c r="EH24" s="147" t="s">
        <v>105</v>
      </c>
      <c r="EI24" s="149"/>
      <c r="EJ24" s="147" t="s">
        <v>106</v>
      </c>
      <c r="EK24" s="149"/>
      <c r="EL24" s="147" t="s">
        <v>107</v>
      </c>
      <c r="EM24" s="149"/>
      <c r="EN24" s="147" t="s">
        <v>74</v>
      </c>
      <c r="EO24" s="148"/>
      <c r="EP24" s="148"/>
      <c r="EQ24" s="147" t="s">
        <v>117</v>
      </c>
      <c r="ER24" s="148"/>
      <c r="ES24" s="149"/>
      <c r="ET24" s="147" t="s">
        <v>307</v>
      </c>
      <c r="EU24" s="148"/>
      <c r="EV24" s="149"/>
      <c r="EW24" s="147" t="s">
        <v>308</v>
      </c>
      <c r="EX24" s="148"/>
      <c r="EY24" s="148"/>
      <c r="EZ24" s="147" t="s">
        <v>309</v>
      </c>
      <c r="FA24" s="148"/>
      <c r="FB24" s="149"/>
      <c r="FC24" s="147" t="s">
        <v>121</v>
      </c>
      <c r="FD24" s="148"/>
      <c r="FE24" s="149"/>
      <c r="FF24" s="147" t="s">
        <v>118</v>
      </c>
      <c r="FG24" s="148"/>
      <c r="FH24" s="148"/>
      <c r="FI24" s="148"/>
      <c r="FJ24" s="147" t="s">
        <v>119</v>
      </c>
      <c r="FK24" s="148"/>
      <c r="FL24" s="149"/>
      <c r="FM24" s="147" t="s">
        <v>120</v>
      </c>
      <c r="FN24" s="148"/>
      <c r="FO24" s="148"/>
      <c r="FP24" s="147" t="s">
        <v>260</v>
      </c>
      <c r="FQ24" s="148"/>
      <c r="FR24" s="148"/>
      <c r="FS24" s="147" t="s">
        <v>122</v>
      </c>
      <c r="FT24" s="148"/>
      <c r="FU24" s="181"/>
    </row>
    <row r="25" spans="1:177" ht="19.5" thickTop="1" thickBot="1">
      <c r="A25" s="377"/>
      <c r="B25" s="153"/>
      <c r="C25" s="344"/>
      <c r="D25" s="368"/>
      <c r="E25" s="370"/>
      <c r="F25" s="153"/>
      <c r="G25" s="154"/>
      <c r="H25" s="153"/>
      <c r="I25" s="154"/>
      <c r="J25" s="344"/>
      <c r="K25" s="153"/>
      <c r="L25" s="344"/>
      <c r="M25" s="153"/>
      <c r="N25" s="344"/>
      <c r="O25" s="368"/>
      <c r="P25" s="370"/>
      <c r="Q25" s="153"/>
      <c r="R25" s="154"/>
      <c r="S25" s="31" t="s">
        <v>11</v>
      </c>
      <c r="T25" s="85" t="s">
        <v>13</v>
      </c>
      <c r="U25" s="32" t="s">
        <v>12</v>
      </c>
      <c r="V25" s="373"/>
      <c r="W25" s="153"/>
      <c r="X25" s="154"/>
      <c r="Y25" s="154"/>
      <c r="Z25" s="368"/>
      <c r="AA25" s="368"/>
      <c r="AB25" s="368"/>
      <c r="AC25" s="368"/>
      <c r="AD25" s="370"/>
      <c r="AE25" s="153"/>
      <c r="AF25" s="154"/>
      <c r="AG25" s="155"/>
      <c r="AH25" s="363"/>
      <c r="AI25" s="364"/>
      <c r="AJ25" s="29" t="s">
        <v>30</v>
      </c>
      <c r="AK25" s="30" t="s">
        <v>53</v>
      </c>
      <c r="AL25" s="153"/>
      <c r="AM25" s="153"/>
      <c r="AN25" s="153"/>
      <c r="AO25" s="375"/>
      <c r="AP25" s="153"/>
      <c r="AQ25" s="153"/>
      <c r="AR25" s="344"/>
      <c r="AS25" s="153"/>
      <c r="AT25" s="357"/>
      <c r="AU25" s="360"/>
      <c r="AV25" s="361"/>
      <c r="AW25" s="153"/>
      <c r="AX25" s="153"/>
      <c r="AY25" s="155"/>
      <c r="AZ25" s="297"/>
      <c r="BA25" s="353"/>
      <c r="BB25" s="85" t="s">
        <v>42</v>
      </c>
      <c r="BC25" s="27" t="s">
        <v>40</v>
      </c>
      <c r="BD25" s="28" t="s">
        <v>41</v>
      </c>
      <c r="BE25" s="153"/>
      <c r="BF25" s="153"/>
      <c r="BG25" s="153"/>
      <c r="BH25" s="346"/>
      <c r="BI25" s="337" t="s">
        <v>233</v>
      </c>
      <c r="BJ25" s="338"/>
      <c r="BK25" s="69" t="s">
        <v>48</v>
      </c>
      <c r="BL25" s="339" t="s">
        <v>234</v>
      </c>
      <c r="BM25" s="338"/>
      <c r="BN25" s="340" t="s">
        <v>235</v>
      </c>
      <c r="BO25" s="338"/>
      <c r="BP25" s="69" t="s">
        <v>50</v>
      </c>
      <c r="BQ25" s="27" t="s">
        <v>51</v>
      </c>
      <c r="BR25" s="341" t="s">
        <v>28</v>
      </c>
      <c r="BS25" s="342"/>
      <c r="BT25" s="339" t="s">
        <v>161</v>
      </c>
      <c r="BU25" s="338"/>
      <c r="BV25" s="338"/>
      <c r="BW25" s="339" t="s">
        <v>236</v>
      </c>
      <c r="BX25" s="343"/>
      <c r="BY25" s="297"/>
      <c r="BZ25" s="154"/>
      <c r="CA25" s="344"/>
      <c r="CB25" s="153"/>
      <c r="CC25" s="344"/>
      <c r="CD25" s="153"/>
      <c r="CE25" s="154"/>
      <c r="CF25" s="154"/>
      <c r="CG25" s="153"/>
      <c r="CH25" s="154"/>
      <c r="CI25" s="344"/>
      <c r="CJ25" s="153"/>
      <c r="CK25" s="154"/>
      <c r="CL25" s="344"/>
      <c r="CM25" s="153"/>
      <c r="CN25" s="344"/>
      <c r="CO25" s="153"/>
      <c r="CP25" s="344"/>
      <c r="CQ25" s="153"/>
      <c r="CR25" s="154"/>
      <c r="CS25" s="153"/>
      <c r="CT25" s="344"/>
      <c r="CU25" s="153"/>
      <c r="CV25" s="344"/>
      <c r="CW25" s="153"/>
      <c r="CX25" s="344"/>
      <c r="CY25" s="147"/>
      <c r="CZ25" s="148"/>
      <c r="DA25" s="148"/>
      <c r="DB25" s="147"/>
      <c r="DC25" s="148"/>
      <c r="DD25" s="149"/>
      <c r="DE25" s="153"/>
      <c r="DF25" s="344"/>
      <c r="DG25" s="153"/>
      <c r="DH25" s="154"/>
      <c r="DI25" s="344"/>
      <c r="DJ25" s="153"/>
      <c r="DK25" s="344"/>
      <c r="DL25" s="153"/>
      <c r="DM25" s="344"/>
      <c r="DN25" s="153"/>
      <c r="DO25" s="344"/>
      <c r="DP25" s="153"/>
      <c r="DQ25" s="344"/>
      <c r="DR25" s="153"/>
      <c r="DS25" s="344"/>
      <c r="DT25" s="153"/>
      <c r="DU25" s="344"/>
      <c r="DV25" s="153"/>
      <c r="DW25" s="344"/>
      <c r="DX25" s="153"/>
      <c r="DY25" s="344"/>
      <c r="DZ25" s="153"/>
      <c r="EA25" s="344"/>
      <c r="EB25" s="153"/>
      <c r="EC25" s="344"/>
      <c r="ED25" s="153"/>
      <c r="EE25" s="344"/>
      <c r="EF25" s="153"/>
      <c r="EG25" s="344"/>
      <c r="EH25" s="153"/>
      <c r="EI25" s="344"/>
      <c r="EJ25" s="153"/>
      <c r="EK25" s="344"/>
      <c r="EL25" s="153"/>
      <c r="EM25" s="344"/>
      <c r="EN25" s="153"/>
      <c r="EO25" s="154"/>
      <c r="EP25" s="154"/>
      <c r="EQ25" s="153"/>
      <c r="ER25" s="154"/>
      <c r="ES25" s="344"/>
      <c r="ET25" s="153"/>
      <c r="EU25" s="154"/>
      <c r="EV25" s="344"/>
      <c r="EW25" s="153"/>
      <c r="EX25" s="154"/>
      <c r="EY25" s="154"/>
      <c r="EZ25" s="153"/>
      <c r="FA25" s="154"/>
      <c r="FB25" s="344"/>
      <c r="FC25" s="153"/>
      <c r="FD25" s="154"/>
      <c r="FE25" s="344"/>
      <c r="FF25" s="153"/>
      <c r="FG25" s="154"/>
      <c r="FH25" s="154"/>
      <c r="FI25" s="154"/>
      <c r="FJ25" s="153"/>
      <c r="FK25" s="154"/>
      <c r="FL25" s="344"/>
      <c r="FM25" s="153"/>
      <c r="FN25" s="154"/>
      <c r="FO25" s="154"/>
      <c r="FP25" s="153"/>
      <c r="FQ25" s="154"/>
      <c r="FR25" s="154"/>
      <c r="FS25" s="153"/>
      <c r="FT25" s="154"/>
      <c r="FU25" s="155"/>
    </row>
    <row r="26" spans="1:177" ht="15.75" thickBot="1">
      <c r="A26" s="19"/>
      <c r="B26" s="333">
        <v>1.73</v>
      </c>
      <c r="C26" s="334"/>
      <c r="D26" s="327">
        <v>5.5</v>
      </c>
      <c r="E26" s="327"/>
      <c r="F26" s="467">
        <v>10.5</v>
      </c>
      <c r="G26" s="468"/>
      <c r="H26" s="307">
        <f>(9.81*(F26^2))/(2*PI())</f>
        <v>172.13442658839713</v>
      </c>
      <c r="I26" s="308"/>
      <c r="J26" s="309"/>
      <c r="K26" s="310">
        <v>35.934899999999999</v>
      </c>
      <c r="L26" s="311"/>
      <c r="M26" s="226">
        <f>H26*SQRT(TANH((2*PI()*K26)/H26))</f>
        <v>160.06654338613717</v>
      </c>
      <c r="N26" s="221"/>
      <c r="O26" s="327">
        <v>9.9</v>
      </c>
      <c r="P26" s="327"/>
      <c r="Q26" s="307">
        <f>O26/H26</f>
        <v>5.7513190105036888E-2</v>
      </c>
      <c r="R26" s="308"/>
      <c r="S26" s="20">
        <v>3.2410100000000002</v>
      </c>
      <c r="T26" s="21" t="s">
        <v>13</v>
      </c>
      <c r="U26" s="22">
        <v>2.1664500000000002</v>
      </c>
      <c r="V26" s="17">
        <f>ATAN(U26/S26)*(180/PI())</f>
        <v>33.760709266215748</v>
      </c>
      <c r="W26" s="80">
        <f>((TAN((V26*PI())/180))/(SQRT(Q26)))</f>
        <v>2.787305492254573</v>
      </c>
      <c r="X26" s="328" t="str">
        <f>IF(W26&gt;3,"Verifica","Não verifica")</f>
        <v>Não verifica</v>
      </c>
      <c r="Y26" s="329"/>
      <c r="Z26" s="23">
        <v>5.87</v>
      </c>
      <c r="AA26" s="25">
        <f>Z26+B26</f>
        <v>7.6</v>
      </c>
      <c r="AB26" s="24">
        <v>8.6</v>
      </c>
      <c r="AC26" s="25">
        <f>Z26/O26</f>
        <v>0.59292929292929297</v>
      </c>
      <c r="AD26" s="26">
        <f>AB26/O26</f>
        <v>0.86868686868686862</v>
      </c>
      <c r="AE26" s="330" t="str">
        <f>IF(AG26=1,"Zona de Impacto",IF(AG26=2,"Zona de não Impacto",""))</f>
        <v>Zona de não Impacto</v>
      </c>
      <c r="AF26" s="308"/>
      <c r="AG26" s="68">
        <v>2</v>
      </c>
      <c r="AH26" s="331">
        <v>0.4375</v>
      </c>
      <c r="AI26" s="332"/>
      <c r="AJ26" s="82">
        <v>1.1764699999999999</v>
      </c>
      <c r="AK26" s="33">
        <v>0.7</v>
      </c>
      <c r="AL26" s="80">
        <f>O26*(AJ26*(1-EXP(-(AK26*W26))))</f>
        <v>9.9918240426669112</v>
      </c>
      <c r="AM26" s="80">
        <f>2.9*((AL26/O26)*COS(V26*PI()/180))^2</f>
        <v>2.0417446509290471</v>
      </c>
      <c r="AN26" s="80">
        <f>O26*(1-(Z26/AL26))</f>
        <v>4.0839448180985878</v>
      </c>
      <c r="AO26" s="15">
        <f>10.25</f>
        <v>10.25</v>
      </c>
      <c r="AP26" s="8">
        <f>AA26-B26</f>
        <v>5.8699999999999992</v>
      </c>
      <c r="AQ26" s="233">
        <f>AM26*AO26*AN26</f>
        <v>85.468317992182463</v>
      </c>
      <c r="AR26" s="245"/>
      <c r="AS26" s="79">
        <f>IF(AND((O26/M26)&gt;0.03,(O26/M26)&lt;0.075),(0.8*EXP((-10.9*AB26)/M26)),"INv")</f>
        <v>0.445403355973778</v>
      </c>
      <c r="AT26" s="84">
        <v>-0.23</v>
      </c>
      <c r="AU26" s="319">
        <f>B26+AT26</f>
        <v>1.5</v>
      </c>
      <c r="AV26" s="320"/>
      <c r="AW26" s="77">
        <f>AU26-B26</f>
        <v>-0.22999999999999998</v>
      </c>
      <c r="AX26" s="233">
        <f>AM26*AS26*AO26*AN26</f>
        <v>38.067875663152101</v>
      </c>
      <c r="AY26" s="324"/>
      <c r="AZ26" s="16">
        <v>1.4510000000000001</v>
      </c>
      <c r="BA26" s="17">
        <f>AB26/AZ26</f>
        <v>5.9269469331495515</v>
      </c>
      <c r="BB26" s="83">
        <v>0.29599999999999999</v>
      </c>
      <c r="BC26" s="18">
        <v>7.2999999999999995E-2</v>
      </c>
      <c r="BD26" s="18">
        <v>383.1</v>
      </c>
      <c r="BE26" s="81">
        <f>IF(AND((O26/M26)&gt;0.03,(O26/M26)&lt;0.075),BD26*((O26/M26)-BC26)^2,"Inv")</f>
        <v>4.7634125582902774E-2</v>
      </c>
      <c r="BF26" s="80">
        <f>BB26*EXP(BE26)</f>
        <v>0.31044091080777908</v>
      </c>
      <c r="BG26" s="8">
        <f>AU26-B26</f>
        <v>-0.22999999999999998</v>
      </c>
      <c r="BH26" s="11">
        <f>BF26*AO26*(AN26+Z26-BG26)</f>
        <v>32.405509325703548</v>
      </c>
      <c r="BI26" s="325">
        <f>AS26*AQ26</f>
        <v>38.067875663152101</v>
      </c>
      <c r="BJ26" s="308"/>
      <c r="BK26" s="70">
        <f>AT26</f>
        <v>-0.23</v>
      </c>
      <c r="BL26" s="226">
        <f>BF26*AO26*(AN26+Z26-BK26)</f>
        <v>32.405509325703548</v>
      </c>
      <c r="BM26" s="221"/>
      <c r="BN26" s="326">
        <v>0</v>
      </c>
      <c r="BO26" s="308"/>
      <c r="BP26" s="71">
        <v>6.5</v>
      </c>
      <c r="BQ26" s="79">
        <f>BP26/M26</f>
        <v>4.0608111242333128E-2</v>
      </c>
      <c r="BR26" s="231">
        <v>0.33750000000000002</v>
      </c>
      <c r="BS26" s="232"/>
      <c r="BT26" s="231">
        <v>0.47499999999999998</v>
      </c>
      <c r="BU26" s="230"/>
      <c r="BV26" s="232"/>
      <c r="BW26" s="221">
        <f>BT26*BL26</f>
        <v>15.392616929709185</v>
      </c>
      <c r="BX26" s="321"/>
      <c r="BY26" s="322">
        <f>AU26</f>
        <v>1.5</v>
      </c>
      <c r="BZ26" s="323"/>
      <c r="CA26" s="320"/>
      <c r="CB26" s="316">
        <v>0.25</v>
      </c>
      <c r="CC26" s="318"/>
      <c r="CD26" s="307">
        <f>CB26+BY26</f>
        <v>1.75</v>
      </c>
      <c r="CE26" s="308"/>
      <c r="CF26" s="308"/>
      <c r="CG26" s="316">
        <v>2</v>
      </c>
      <c r="CH26" s="317"/>
      <c r="CI26" s="318"/>
      <c r="CJ26" s="316">
        <v>2.5</v>
      </c>
      <c r="CK26" s="317"/>
      <c r="CL26" s="318"/>
      <c r="CM26" s="319">
        <f>CD26</f>
        <v>1.75</v>
      </c>
      <c r="CN26" s="320"/>
      <c r="CO26" s="307">
        <f>BP26</f>
        <v>6.5</v>
      </c>
      <c r="CP26" s="309"/>
      <c r="CQ26" s="316">
        <v>1.35</v>
      </c>
      <c r="CR26" s="318"/>
      <c r="CS26" s="319">
        <f>CM26+CQ26</f>
        <v>3.1</v>
      </c>
      <c r="CT26" s="320"/>
      <c r="CU26" s="310">
        <v>5.17</v>
      </c>
      <c r="CV26" s="311"/>
      <c r="CW26" s="307">
        <f>CU26+B26</f>
        <v>6.9</v>
      </c>
      <c r="CX26" s="309"/>
      <c r="CY26" s="307">
        <f>Z26+AN26</f>
        <v>9.9539448180985879</v>
      </c>
      <c r="CZ26" s="308"/>
      <c r="DA26" s="308"/>
      <c r="DB26" s="307">
        <f>AA26+AN26</f>
        <v>11.683944818098588</v>
      </c>
      <c r="DC26" s="308"/>
      <c r="DD26" s="309"/>
      <c r="DE26" s="310">
        <v>8.77</v>
      </c>
      <c r="DF26" s="311"/>
      <c r="DG26" s="307">
        <f>DE26+B26</f>
        <v>10.5</v>
      </c>
      <c r="DH26" s="308"/>
      <c r="DI26" s="309"/>
      <c r="DJ26" s="307">
        <f>DG26</f>
        <v>10.5</v>
      </c>
      <c r="DK26" s="309"/>
      <c r="DL26" s="312">
        <v>1.5</v>
      </c>
      <c r="DM26" s="313"/>
      <c r="DN26" s="307">
        <f>DJ26-DL26</f>
        <v>9</v>
      </c>
      <c r="DO26" s="309"/>
      <c r="DP26" s="310">
        <v>2.2999999999999998</v>
      </c>
      <c r="DQ26" s="311"/>
      <c r="DR26" s="310">
        <v>2.6</v>
      </c>
      <c r="DS26" s="311"/>
      <c r="DT26" s="307">
        <f>DN26</f>
        <v>9</v>
      </c>
      <c r="DU26" s="309"/>
      <c r="DV26" s="312">
        <v>2</v>
      </c>
      <c r="DW26" s="313"/>
      <c r="DX26" s="307">
        <f>DT26-DV26</f>
        <v>7</v>
      </c>
      <c r="DY26" s="309"/>
      <c r="DZ26" s="310">
        <v>3.9</v>
      </c>
      <c r="EA26" s="311"/>
      <c r="EB26" s="310">
        <v>4.2</v>
      </c>
      <c r="EC26" s="311"/>
      <c r="ED26" s="307">
        <f>DX26</f>
        <v>7</v>
      </c>
      <c r="EE26" s="309"/>
      <c r="EF26" s="312">
        <v>3.9</v>
      </c>
      <c r="EG26" s="313"/>
      <c r="EH26" s="307">
        <f>ED26-EF26</f>
        <v>3.1</v>
      </c>
      <c r="EI26" s="309"/>
      <c r="EJ26" s="310">
        <v>5.5</v>
      </c>
      <c r="EK26" s="311"/>
      <c r="EL26" s="310">
        <v>5.5</v>
      </c>
      <c r="EM26" s="311"/>
      <c r="EN26" s="310">
        <v>2.7</v>
      </c>
      <c r="EO26" s="314"/>
      <c r="EP26" s="314"/>
      <c r="EQ26" s="307">
        <f>CW26-EN26</f>
        <v>4.2</v>
      </c>
      <c r="ER26" s="308"/>
      <c r="ES26" s="309"/>
      <c r="ET26" s="307">
        <f>EQ26</f>
        <v>4.2</v>
      </c>
      <c r="EU26" s="308"/>
      <c r="EV26" s="309"/>
      <c r="EW26" s="310">
        <v>2.7</v>
      </c>
      <c r="EX26" s="314"/>
      <c r="EY26" s="314"/>
      <c r="EZ26" s="307">
        <f>EQ26-EW26</f>
        <v>1.5</v>
      </c>
      <c r="FA26" s="308"/>
      <c r="FB26" s="309"/>
      <c r="FC26" s="307">
        <f>EZ26</f>
        <v>1.5</v>
      </c>
      <c r="FD26" s="308"/>
      <c r="FE26" s="309"/>
      <c r="FF26" s="231">
        <v>0</v>
      </c>
      <c r="FG26" s="230"/>
      <c r="FH26" s="230"/>
      <c r="FI26" s="230"/>
      <c r="FJ26" s="226">
        <f>CS26-FF26</f>
        <v>3.1</v>
      </c>
      <c r="FK26" s="221"/>
      <c r="FL26" s="142"/>
      <c r="FM26" s="310">
        <v>1.35</v>
      </c>
      <c r="FN26" s="314"/>
      <c r="FO26" s="314"/>
      <c r="FP26" s="307">
        <f>FJ26-FM26</f>
        <v>1.75</v>
      </c>
      <c r="FQ26" s="308"/>
      <c r="FR26" s="308"/>
      <c r="FS26" s="307">
        <f>FP26</f>
        <v>1.75</v>
      </c>
      <c r="FT26" s="308"/>
      <c r="FU26" s="315"/>
    </row>
    <row r="27" spans="1:177" ht="15.75" thickBot="1">
      <c r="AP27" s="10">
        <f>(AA26+AN26)-B26</f>
        <v>9.9539448180985879</v>
      </c>
      <c r="AQ27" s="301">
        <f>AM26*AO26*AN26</f>
        <v>85.468317992182463</v>
      </c>
      <c r="AR27" s="302"/>
      <c r="AW27" s="14">
        <f>B26-B26</f>
        <v>0</v>
      </c>
      <c r="AX27" s="199">
        <f>AM26*AS26*AO26*AN26</f>
        <v>38.067875663152101</v>
      </c>
      <c r="AY27" s="200"/>
      <c r="BG27" s="9">
        <f>CM26-B26</f>
        <v>2.0000000000000018E-2</v>
      </c>
      <c r="BH27" s="12">
        <f>BF26*AO26*(AN26+Z26-BG27)</f>
        <v>31.610004491758616</v>
      </c>
      <c r="DB27" s="6"/>
      <c r="DL27" s="303" t="str">
        <f>IF((DL26+DV26+EF26)=(DG26-CS26),"Corresponde",IF((DL26+DV26+EF26)&gt;(DG26-CS26),"Excede","Falta"))</f>
        <v>Corresponde</v>
      </c>
      <c r="DM27" s="304"/>
      <c r="DV27" s="303" t="str">
        <f>IF((DL26+DV26+EF26)=(DG26-CS26),"Corresponde",IF((DL26+DV26+EF26)&gt;(DG26-CS26),"Excede","Falta"))</f>
        <v>Corresponde</v>
      </c>
      <c r="DW27" s="304"/>
      <c r="EF27" s="303" t="str">
        <f>IF((DL26+DV26+EF26)=(DG26-CS26),"Corresponde",IF((DL26+DV26+EF26)&gt;(DG26-CS26),"Excede","Falta"))</f>
        <v>Corresponde</v>
      </c>
      <c r="EG27" s="304"/>
    </row>
    <row r="28" spans="1:177" ht="15.75" thickBot="1">
      <c r="W28" s="6"/>
      <c r="AW28" s="7">
        <f>AA26-B26</f>
        <v>5.8699999999999992</v>
      </c>
      <c r="AX28" s="305">
        <f>AM26*AS26*AO26*AN26</f>
        <v>38.067875663152101</v>
      </c>
      <c r="AY28" s="306"/>
      <c r="BG28" s="9">
        <f>AA26-B26</f>
        <v>5.8699999999999992</v>
      </c>
      <c r="BH28" s="12">
        <f>BF26*AO26*(AN26+Z26-BG28)</f>
        <v>12.995191377447163</v>
      </c>
      <c r="DC28" s="6"/>
    </row>
    <row r="29" spans="1:177" ht="15.75" thickBot="1">
      <c r="Q29" s="105"/>
      <c r="R29" s="105"/>
      <c r="S29" s="105"/>
      <c r="BG29" s="10">
        <f>(AA26+AN26)-B26</f>
        <v>9.9539448180985879</v>
      </c>
      <c r="BH29" s="13">
        <f>BF26*AO26*(AN26+Z26-BG29)</f>
        <v>0</v>
      </c>
    </row>
    <row r="30" spans="1:177" ht="15.75" thickTop="1">
      <c r="BF30" s="58" t="s">
        <v>192</v>
      </c>
      <c r="BG30" s="54">
        <f>DJ26-B26</f>
        <v>8.77</v>
      </c>
      <c r="BH30" s="47">
        <f>BF26*AO26*(AN26+Z26-BG30)</f>
        <v>3.7673353036859298</v>
      </c>
    </row>
    <row r="31" spans="1:177">
      <c r="Z31" s="6"/>
      <c r="AA31" s="6"/>
      <c r="AX31" s="95"/>
      <c r="AY31" s="95"/>
      <c r="AZ31" s="95"/>
      <c r="BF31" s="59" t="s">
        <v>193</v>
      </c>
      <c r="BG31" s="55">
        <f>DT26-B26</f>
        <v>7.27</v>
      </c>
      <c r="BH31" s="51">
        <f>BF26*AO26*(AN26+Z26-BG31)</f>
        <v>8.5403643073555333</v>
      </c>
    </row>
    <row r="32" spans="1:177">
      <c r="AX32" s="96"/>
      <c r="AY32" s="96"/>
      <c r="AZ32" s="96"/>
      <c r="BF32" s="59" t="s">
        <v>194</v>
      </c>
      <c r="BG32" s="56">
        <f>ED26-B26</f>
        <v>5.27</v>
      </c>
      <c r="BH32" s="53">
        <f>BF26*AO26*(AN26+Z26-BG32)</f>
        <v>14.904402978915003</v>
      </c>
    </row>
    <row r="33" spans="1:282">
      <c r="BF33" s="59" t="s">
        <v>195</v>
      </c>
      <c r="BG33" s="56">
        <f>CS26-B26</f>
        <v>1.37</v>
      </c>
      <c r="BH33" s="53">
        <f>BF26*AO26*(AN26+Z26-BG33)</f>
        <v>27.314278388455968</v>
      </c>
    </row>
    <row r="34" spans="1:282">
      <c r="BF34" s="59" t="s">
        <v>196</v>
      </c>
      <c r="BG34" s="56">
        <f>CD26-B26</f>
        <v>2.0000000000000018E-2</v>
      </c>
      <c r="BH34" s="53">
        <f>BF26*AO26*(AN26+Z26-BG34)</f>
        <v>31.610004491758616</v>
      </c>
    </row>
    <row r="35" spans="1:282" ht="15.75" thickBot="1">
      <c r="BF35" s="60" t="s">
        <v>197</v>
      </c>
      <c r="BG35" s="57">
        <f>BY26-B26</f>
        <v>-0.22999999999999998</v>
      </c>
      <c r="BH35" s="52">
        <f>BF26*AO26*(AN26+Z26-BG35)</f>
        <v>32.405509325703548</v>
      </c>
    </row>
    <row r="36" spans="1:282" ht="16.5" thickTop="1" thickBo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</row>
    <row r="37" spans="1:282" ht="16.5" thickBot="1">
      <c r="A37" s="97" t="s">
        <v>62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9"/>
      <c r="FB37" s="294" t="s">
        <v>63</v>
      </c>
      <c r="FC37" s="295"/>
      <c r="FD37" s="295"/>
      <c r="FE37" s="295"/>
      <c r="FF37" s="295"/>
      <c r="FG37" s="295"/>
      <c r="FH37" s="295"/>
      <c r="FI37" s="295"/>
      <c r="FJ37" s="295"/>
      <c r="FK37" s="295"/>
      <c r="FL37" s="295"/>
      <c r="FM37" s="295"/>
      <c r="FN37" s="295"/>
      <c r="FO37" s="295"/>
      <c r="FP37" s="295"/>
      <c r="FQ37" s="295"/>
      <c r="FR37" s="295"/>
      <c r="FS37" s="295"/>
      <c r="FT37" s="295"/>
      <c r="FU37" s="295"/>
      <c r="FV37" s="295"/>
      <c r="FW37" s="295"/>
      <c r="FX37" s="295"/>
      <c r="FY37" s="295"/>
      <c r="FZ37" s="295"/>
      <c r="GA37" s="295"/>
      <c r="GB37" s="295"/>
      <c r="GC37" s="295"/>
      <c r="GD37" s="295"/>
      <c r="GE37" s="295"/>
      <c r="GF37" s="295"/>
      <c r="GG37" s="295"/>
      <c r="GH37" s="295"/>
      <c r="GI37" s="295"/>
      <c r="GJ37" s="295"/>
      <c r="GK37" s="295"/>
      <c r="GL37" s="295"/>
      <c r="GM37" s="295"/>
      <c r="GN37" s="295"/>
      <c r="GO37" s="295"/>
      <c r="GP37" s="295"/>
      <c r="GQ37" s="295"/>
      <c r="GR37" s="295"/>
      <c r="GS37" s="295"/>
      <c r="GT37" s="295"/>
      <c r="GU37" s="295"/>
      <c r="GV37" s="295"/>
      <c r="GW37" s="295"/>
      <c r="GX37" s="295"/>
      <c r="GY37" s="295"/>
      <c r="GZ37" s="295"/>
      <c r="HA37" s="295"/>
      <c r="HB37" s="295"/>
      <c r="HC37" s="295"/>
      <c r="HD37" s="295"/>
      <c r="HE37" s="295"/>
      <c r="HF37" s="295"/>
      <c r="HG37" s="295"/>
      <c r="HH37" s="295"/>
      <c r="HI37" s="295"/>
      <c r="HJ37" s="295"/>
      <c r="HK37" s="295"/>
      <c r="HL37" s="295"/>
      <c r="HM37" s="295"/>
      <c r="HN37" s="295"/>
      <c r="HO37" s="295"/>
      <c r="HP37" s="295"/>
      <c r="HQ37" s="295"/>
      <c r="HR37" s="295"/>
      <c r="HS37" s="295"/>
      <c r="HT37" s="295"/>
      <c r="HU37" s="295"/>
      <c r="HV37" s="295"/>
      <c r="HW37" s="295"/>
      <c r="HX37" s="295"/>
      <c r="HY37" s="295"/>
      <c r="HZ37" s="295"/>
      <c r="IA37" s="295"/>
      <c r="IB37" s="295"/>
      <c r="IC37" s="295"/>
      <c r="ID37" s="295"/>
      <c r="IE37" s="295"/>
      <c r="IF37" s="295"/>
      <c r="IG37" s="295"/>
      <c r="IH37" s="295"/>
      <c r="II37" s="295"/>
      <c r="IJ37" s="295"/>
      <c r="IK37" s="295"/>
      <c r="IL37" s="295"/>
      <c r="IM37" s="295"/>
      <c r="IN37" s="295"/>
      <c r="IO37" s="295"/>
      <c r="IP37" s="295"/>
      <c r="IQ37" s="295"/>
      <c r="IR37" s="295"/>
      <c r="IS37" s="295"/>
      <c r="IT37" s="295"/>
      <c r="IU37" s="295"/>
      <c r="IV37" s="295"/>
      <c r="IW37" s="295"/>
      <c r="IX37" s="295"/>
      <c r="IY37" s="295"/>
      <c r="IZ37" s="295"/>
      <c r="JA37" s="295"/>
      <c r="JB37" s="295"/>
      <c r="JC37" s="295"/>
      <c r="JD37" s="295"/>
      <c r="JE37" s="296"/>
    </row>
    <row r="38" spans="1:282" ht="16.5" customHeight="1" thickTop="1" thickBot="1">
      <c r="A38" s="297" t="s">
        <v>182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298" t="s">
        <v>183</v>
      </c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298" t="s">
        <v>65</v>
      </c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03"/>
      <c r="CS38" s="104"/>
      <c r="CT38" s="463" t="s">
        <v>310</v>
      </c>
      <c r="CU38" s="464"/>
      <c r="CV38" s="464"/>
      <c r="CW38" s="464"/>
      <c r="CX38" s="464"/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4"/>
      <c r="DK38" s="464"/>
      <c r="DL38" s="464"/>
      <c r="DM38" s="464"/>
      <c r="DN38" s="464"/>
      <c r="DO38" s="465"/>
      <c r="DP38" s="300" t="s">
        <v>177</v>
      </c>
      <c r="DQ38" s="154"/>
      <c r="DR38" s="154"/>
      <c r="DS38" s="154"/>
      <c r="DT38" s="298" t="s">
        <v>165</v>
      </c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298" t="s">
        <v>166</v>
      </c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300" t="s">
        <v>181</v>
      </c>
      <c r="EY38" s="154"/>
      <c r="EZ38" s="154"/>
      <c r="FA38" s="154"/>
      <c r="FB38" s="297" t="s">
        <v>64</v>
      </c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154"/>
      <c r="FS38" s="154"/>
      <c r="FT38" s="154"/>
      <c r="FU38" s="154"/>
      <c r="FV38" s="154"/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  <c r="GG38" s="154"/>
      <c r="GH38" s="154"/>
      <c r="GI38" s="154"/>
      <c r="GJ38" s="154"/>
      <c r="GK38" s="154"/>
      <c r="GL38" s="154"/>
      <c r="GM38" s="154"/>
      <c r="GN38" s="154"/>
      <c r="GO38" s="154"/>
      <c r="GP38" s="154"/>
      <c r="GQ38" s="154"/>
      <c r="GR38" s="154"/>
      <c r="GS38" s="154"/>
      <c r="GT38" s="154"/>
      <c r="GU38" s="154"/>
      <c r="GV38" s="154"/>
      <c r="GW38" s="154"/>
      <c r="GX38" s="154"/>
      <c r="GY38" s="154"/>
      <c r="GZ38" s="154"/>
      <c r="HA38" s="154"/>
      <c r="HB38" s="154"/>
      <c r="HC38" s="154"/>
      <c r="HD38" s="154"/>
      <c r="HE38" s="154"/>
      <c r="HF38" s="154"/>
      <c r="HG38" s="154"/>
      <c r="HH38" s="154"/>
      <c r="HI38" s="154"/>
      <c r="HJ38" s="154"/>
      <c r="HK38" s="154"/>
      <c r="HL38" s="154"/>
      <c r="HM38" s="154"/>
      <c r="HN38" s="154"/>
      <c r="HO38" s="154"/>
      <c r="HP38" s="154"/>
      <c r="HQ38" s="154"/>
      <c r="HR38" s="154"/>
      <c r="HS38" s="154"/>
      <c r="HT38" s="154"/>
      <c r="HU38" s="154"/>
      <c r="HV38" s="154"/>
      <c r="HW38" s="154"/>
      <c r="HX38" s="154"/>
      <c r="HY38" s="154"/>
      <c r="HZ38" s="154"/>
      <c r="IA38" s="154"/>
      <c r="IB38" s="154"/>
      <c r="IC38" s="154"/>
      <c r="ID38" s="154"/>
      <c r="IE38" s="154"/>
      <c r="IF38" s="298" t="s">
        <v>210</v>
      </c>
      <c r="IG38" s="154"/>
      <c r="IH38" s="154"/>
      <c r="II38" s="154"/>
      <c r="IJ38" s="154"/>
      <c r="IK38" s="154"/>
      <c r="IL38" s="154"/>
      <c r="IM38" s="154"/>
      <c r="IN38" s="154"/>
      <c r="IO38" s="154"/>
      <c r="IP38" s="298" t="s">
        <v>211</v>
      </c>
      <c r="IQ38" s="154"/>
      <c r="IR38" s="154"/>
      <c r="IS38" s="154"/>
      <c r="IT38" s="154"/>
      <c r="IU38" s="154"/>
      <c r="IV38" s="154"/>
      <c r="IW38" s="154"/>
      <c r="IX38" s="154"/>
      <c r="IY38" s="154"/>
      <c r="IZ38" s="154"/>
      <c r="JA38" s="154"/>
      <c r="JB38" s="154"/>
      <c r="JC38" s="154"/>
      <c r="JD38" s="154"/>
      <c r="JE38" s="155"/>
    </row>
    <row r="39" spans="1:282" ht="18.75" thickBot="1">
      <c r="A39" s="293" t="s">
        <v>184</v>
      </c>
      <c r="B39" s="258"/>
      <c r="C39" s="257" t="s">
        <v>185</v>
      </c>
      <c r="D39" s="258"/>
      <c r="E39" s="257" t="s">
        <v>179</v>
      </c>
      <c r="F39" s="267"/>
      <c r="G39" s="257" t="s">
        <v>223</v>
      </c>
      <c r="H39" s="267"/>
      <c r="I39" s="276" t="s">
        <v>237</v>
      </c>
      <c r="J39" s="277"/>
      <c r="K39" s="275" t="s">
        <v>186</v>
      </c>
      <c r="L39" s="261"/>
      <c r="M39" s="269" t="s">
        <v>281</v>
      </c>
      <c r="N39" s="269"/>
      <c r="O39" s="270" t="s">
        <v>283</v>
      </c>
      <c r="P39" s="269"/>
      <c r="Q39" s="270" t="s">
        <v>282</v>
      </c>
      <c r="R39" s="271"/>
      <c r="S39" s="270" t="s">
        <v>284</v>
      </c>
      <c r="T39" s="269"/>
      <c r="U39" s="269"/>
      <c r="V39" s="259" t="s">
        <v>180</v>
      </c>
      <c r="W39" s="261"/>
      <c r="X39" s="257" t="s">
        <v>285</v>
      </c>
      <c r="Y39" s="267"/>
      <c r="Z39" s="257" t="s">
        <v>286</v>
      </c>
      <c r="AA39" s="267"/>
      <c r="AB39" s="276" t="s">
        <v>287</v>
      </c>
      <c r="AC39" s="277"/>
      <c r="AD39" s="276" t="s">
        <v>288</v>
      </c>
      <c r="AE39" s="277"/>
      <c r="AF39" s="287" t="s">
        <v>238</v>
      </c>
      <c r="AG39" s="292"/>
      <c r="AH39" s="288"/>
      <c r="AI39" s="259" t="s">
        <v>224</v>
      </c>
      <c r="AJ39" s="263"/>
      <c r="AK39" s="261"/>
      <c r="AL39" s="257" t="s">
        <v>239</v>
      </c>
      <c r="AM39" s="258"/>
      <c r="AN39" s="266"/>
      <c r="AO39" s="291" t="s">
        <v>187</v>
      </c>
      <c r="AP39" s="258"/>
      <c r="AQ39" s="257" t="s">
        <v>188</v>
      </c>
      <c r="AR39" s="258"/>
      <c r="AS39" s="257" t="s">
        <v>189</v>
      </c>
      <c r="AT39" s="258"/>
      <c r="AU39" s="257" t="s">
        <v>289</v>
      </c>
      <c r="AV39" s="258"/>
      <c r="AW39" s="257" t="s">
        <v>190</v>
      </c>
      <c r="AX39" s="258"/>
      <c r="AY39" s="257" t="s">
        <v>191</v>
      </c>
      <c r="AZ39" s="258"/>
      <c r="BA39" s="257" t="s">
        <v>303</v>
      </c>
      <c r="BB39" s="258"/>
      <c r="BC39" s="257" t="s">
        <v>296</v>
      </c>
      <c r="BD39" s="267"/>
      <c r="BE39" s="257" t="s">
        <v>227</v>
      </c>
      <c r="BF39" s="258"/>
      <c r="BG39" s="272" t="s">
        <v>225</v>
      </c>
      <c r="BH39" s="273"/>
      <c r="BI39" s="274"/>
      <c r="BJ39" s="272" t="s">
        <v>290</v>
      </c>
      <c r="BK39" s="273"/>
      <c r="BL39" s="273"/>
      <c r="BM39" s="272" t="s">
        <v>291</v>
      </c>
      <c r="BN39" s="273"/>
      <c r="BO39" s="274"/>
      <c r="BP39" s="258" t="s">
        <v>292</v>
      </c>
      <c r="BQ39" s="258"/>
      <c r="BR39" s="257" t="s">
        <v>293</v>
      </c>
      <c r="BS39" s="267"/>
      <c r="BT39" s="258" t="s">
        <v>226</v>
      </c>
      <c r="BU39" s="267"/>
      <c r="BV39" s="272" t="s">
        <v>294</v>
      </c>
      <c r="BW39" s="274"/>
      <c r="BX39" s="276" t="s">
        <v>295</v>
      </c>
      <c r="BY39" s="277"/>
      <c r="BZ39" s="290" t="s">
        <v>297</v>
      </c>
      <c r="CA39" s="290"/>
      <c r="CB39" s="290" t="s">
        <v>298</v>
      </c>
      <c r="CC39" s="290"/>
      <c r="CD39" s="276" t="s">
        <v>321</v>
      </c>
      <c r="CE39" s="289"/>
      <c r="CF39" s="49" t="s">
        <v>335</v>
      </c>
      <c r="CG39" s="44" t="s">
        <v>82</v>
      </c>
      <c r="CH39" s="276" t="s">
        <v>83</v>
      </c>
      <c r="CI39" s="283"/>
      <c r="CJ39" s="75" t="s">
        <v>84</v>
      </c>
      <c r="CK39" s="44" t="s">
        <v>66</v>
      </c>
      <c r="CL39" s="276" t="s">
        <v>123</v>
      </c>
      <c r="CM39" s="283"/>
      <c r="CN39" s="276" t="s">
        <v>81</v>
      </c>
      <c r="CO39" s="283"/>
      <c r="CP39" s="276" t="s">
        <v>80</v>
      </c>
      <c r="CQ39" s="283"/>
      <c r="CR39" s="276" t="s">
        <v>323</v>
      </c>
      <c r="CS39" s="289"/>
      <c r="CT39" s="50" t="s">
        <v>337</v>
      </c>
      <c r="CU39" s="44" t="s">
        <v>86</v>
      </c>
      <c r="CV39" s="276" t="s">
        <v>87</v>
      </c>
      <c r="CW39" s="283"/>
      <c r="CX39" s="75" t="s">
        <v>88</v>
      </c>
      <c r="CY39" s="44" t="s">
        <v>66</v>
      </c>
      <c r="CZ39" s="276" t="s">
        <v>249</v>
      </c>
      <c r="DA39" s="283"/>
      <c r="DB39" s="276" t="s">
        <v>250</v>
      </c>
      <c r="DC39" s="283"/>
      <c r="DD39" s="276" t="s">
        <v>304</v>
      </c>
      <c r="DE39" s="283"/>
      <c r="DF39" s="276" t="s">
        <v>79</v>
      </c>
      <c r="DG39" s="283"/>
      <c r="DH39" s="276" t="s">
        <v>305</v>
      </c>
      <c r="DI39" s="277"/>
      <c r="DJ39" s="276" t="s">
        <v>306</v>
      </c>
      <c r="DK39" s="283"/>
      <c r="DL39" s="276" t="s">
        <v>306</v>
      </c>
      <c r="DM39" s="283"/>
      <c r="DN39" s="276" t="s">
        <v>312</v>
      </c>
      <c r="DO39" s="289"/>
      <c r="DP39" s="278" t="s">
        <v>277</v>
      </c>
      <c r="DQ39" s="279"/>
      <c r="DR39" s="280" t="s">
        <v>278</v>
      </c>
      <c r="DS39" s="284"/>
      <c r="DT39" s="49" t="s">
        <v>336</v>
      </c>
      <c r="DU39" s="44" t="s">
        <v>253</v>
      </c>
      <c r="DV39" s="285" t="s">
        <v>83</v>
      </c>
      <c r="DW39" s="286"/>
      <c r="DX39" s="75" t="s">
        <v>66</v>
      </c>
      <c r="DY39" s="44" t="s">
        <v>66</v>
      </c>
      <c r="DZ39" s="276" t="s">
        <v>254</v>
      </c>
      <c r="EA39" s="283"/>
      <c r="EB39" s="276" t="s">
        <v>325</v>
      </c>
      <c r="EC39" s="283"/>
      <c r="ED39" s="277" t="s">
        <v>256</v>
      </c>
      <c r="EE39" s="277"/>
      <c r="EF39" s="276" t="s">
        <v>324</v>
      </c>
      <c r="EG39" s="277"/>
      <c r="EH39" s="49" t="s">
        <v>337</v>
      </c>
      <c r="EI39" s="44" t="s">
        <v>255</v>
      </c>
      <c r="EJ39" s="276" t="s">
        <v>87</v>
      </c>
      <c r="EK39" s="283"/>
      <c r="EL39" s="75" t="s">
        <v>66</v>
      </c>
      <c r="EM39" s="44" t="s">
        <v>66</v>
      </c>
      <c r="EN39" s="276" t="s">
        <v>258</v>
      </c>
      <c r="EO39" s="283"/>
      <c r="EP39" s="276" t="s">
        <v>257</v>
      </c>
      <c r="EQ39" s="283"/>
      <c r="ER39" s="276" t="s">
        <v>326</v>
      </c>
      <c r="ES39" s="283"/>
      <c r="ET39" s="277" t="s">
        <v>259</v>
      </c>
      <c r="EU39" s="277"/>
      <c r="EV39" s="276" t="s">
        <v>327</v>
      </c>
      <c r="EW39" s="277"/>
      <c r="EX39" s="278" t="s">
        <v>279</v>
      </c>
      <c r="EY39" s="279"/>
      <c r="EZ39" s="280" t="s">
        <v>280</v>
      </c>
      <c r="FA39" s="281"/>
      <c r="FB39" s="282" t="s">
        <v>67</v>
      </c>
      <c r="FC39" s="277"/>
      <c r="FD39" s="275" t="s">
        <v>198</v>
      </c>
      <c r="FE39" s="263"/>
      <c r="FF39" s="261"/>
      <c r="FG39" s="257" t="s">
        <v>199</v>
      </c>
      <c r="FH39" s="258"/>
      <c r="FI39" s="267"/>
      <c r="FJ39" s="258" t="s">
        <v>200</v>
      </c>
      <c r="FK39" s="258"/>
      <c r="FL39" s="258"/>
      <c r="FM39" s="257" t="s">
        <v>168</v>
      </c>
      <c r="FN39" s="258"/>
      <c r="FO39" s="258"/>
      <c r="FP39" s="257" t="s">
        <v>169</v>
      </c>
      <c r="FQ39" s="258"/>
      <c r="FR39" s="258"/>
      <c r="FS39" s="257" t="s">
        <v>241</v>
      </c>
      <c r="FT39" s="258"/>
      <c r="FU39" s="258"/>
      <c r="FV39" s="275" t="s">
        <v>156</v>
      </c>
      <c r="FW39" s="261"/>
      <c r="FX39" s="270" t="s">
        <v>73</v>
      </c>
      <c r="FY39" s="269"/>
      <c r="FZ39" s="269"/>
      <c r="GA39" s="259" t="s">
        <v>242</v>
      </c>
      <c r="GB39" s="263"/>
      <c r="GC39" s="264"/>
      <c r="GD39" s="273" t="s">
        <v>201</v>
      </c>
      <c r="GE39" s="273"/>
      <c r="GF39" s="274"/>
      <c r="GG39" s="272" t="s">
        <v>202</v>
      </c>
      <c r="GH39" s="273"/>
      <c r="GI39" s="273"/>
      <c r="GJ39" s="272" t="s">
        <v>203</v>
      </c>
      <c r="GK39" s="273"/>
      <c r="GL39" s="273"/>
      <c r="GM39" s="257" t="s">
        <v>170</v>
      </c>
      <c r="GN39" s="267"/>
      <c r="GO39" s="258" t="s">
        <v>171</v>
      </c>
      <c r="GP39" s="267"/>
      <c r="GQ39" s="257" t="s">
        <v>243</v>
      </c>
      <c r="GR39" s="258"/>
      <c r="GS39" s="258"/>
      <c r="GT39" s="268" t="s">
        <v>204</v>
      </c>
      <c r="GU39" s="269"/>
      <c r="GV39" s="271"/>
      <c r="GW39" s="272" t="s">
        <v>205</v>
      </c>
      <c r="GX39" s="273"/>
      <c r="GY39" s="274"/>
      <c r="GZ39" s="272" t="s">
        <v>206</v>
      </c>
      <c r="HA39" s="273"/>
      <c r="HB39" s="273"/>
      <c r="HC39" s="257" t="s">
        <v>172</v>
      </c>
      <c r="HD39" s="267"/>
      <c r="HE39" s="257" t="s">
        <v>173</v>
      </c>
      <c r="HF39" s="267"/>
      <c r="HG39" s="257" t="s">
        <v>244</v>
      </c>
      <c r="HH39" s="258"/>
      <c r="HI39" s="258"/>
      <c r="HJ39" s="268" t="s">
        <v>207</v>
      </c>
      <c r="HK39" s="269"/>
      <c r="HL39" s="269"/>
      <c r="HM39" s="270" t="s">
        <v>208</v>
      </c>
      <c r="HN39" s="269"/>
      <c r="HO39" s="269"/>
      <c r="HP39" s="270" t="s">
        <v>209</v>
      </c>
      <c r="HQ39" s="269"/>
      <c r="HR39" s="269"/>
      <c r="HS39" s="259" t="s">
        <v>174</v>
      </c>
      <c r="HT39" s="261"/>
      <c r="HU39" s="259" t="s">
        <v>175</v>
      </c>
      <c r="HV39" s="261"/>
      <c r="HW39" s="259" t="s">
        <v>245</v>
      </c>
      <c r="HX39" s="263"/>
      <c r="HY39" s="264"/>
      <c r="HZ39" s="265" t="s">
        <v>176</v>
      </c>
      <c r="IA39" s="258"/>
      <c r="IB39" s="258"/>
      <c r="IC39" s="257" t="s">
        <v>246</v>
      </c>
      <c r="ID39" s="258"/>
      <c r="IE39" s="266"/>
      <c r="IF39" s="258" t="s">
        <v>212</v>
      </c>
      <c r="IG39" s="258"/>
      <c r="IH39" s="257" t="s">
        <v>213</v>
      </c>
      <c r="II39" s="267"/>
      <c r="IJ39" s="258" t="s">
        <v>217</v>
      </c>
      <c r="IK39" s="258"/>
      <c r="IL39" s="257" t="s">
        <v>218</v>
      </c>
      <c r="IM39" s="258"/>
      <c r="IN39" s="259" t="s">
        <v>247</v>
      </c>
      <c r="IO39" s="260"/>
      <c r="IP39" s="259" t="s">
        <v>214</v>
      </c>
      <c r="IQ39" s="261"/>
      <c r="IR39" s="255" t="s">
        <v>215</v>
      </c>
      <c r="IS39" s="255"/>
      <c r="IT39" s="262" t="s">
        <v>216</v>
      </c>
      <c r="IU39" s="261"/>
      <c r="IV39" s="255" t="s">
        <v>219</v>
      </c>
      <c r="IW39" s="255"/>
      <c r="IX39" s="255" t="s">
        <v>220</v>
      </c>
      <c r="IY39" s="255"/>
      <c r="IZ39" s="255" t="s">
        <v>221</v>
      </c>
      <c r="JA39" s="255"/>
      <c r="JB39" s="255" t="s">
        <v>222</v>
      </c>
      <c r="JC39" s="255"/>
      <c r="JD39" s="255" t="s">
        <v>248</v>
      </c>
      <c r="JE39" s="256"/>
    </row>
    <row r="40" spans="1:282" ht="15.75" thickBot="1">
      <c r="A40" s="188">
        <f>AQ26</f>
        <v>85.468317992182463</v>
      </c>
      <c r="B40" s="188"/>
      <c r="C40" s="247">
        <f>IF(DB26&gt;DG26,(DG26-AA26),(DB26-AA26))</f>
        <v>2.9000000000000004</v>
      </c>
      <c r="D40" s="188"/>
      <c r="E40" s="251">
        <f>A40*C40</f>
        <v>247.85812217732916</v>
      </c>
      <c r="F40" s="254"/>
      <c r="G40" s="247">
        <f>IF(DB26&gt;DG26,(((DJ26-AA26)/2)+(AA26-CM26)),(((DB26-AA26)/2)+(AA26-CM26)))</f>
        <v>7.3</v>
      </c>
      <c r="H40" s="250"/>
      <c r="I40" s="226">
        <f>E40*G40</f>
        <v>1809.3642918945029</v>
      </c>
      <c r="J40" s="221"/>
      <c r="K40" s="228">
        <f>AX26</f>
        <v>38.067875663152101</v>
      </c>
      <c r="L40" s="225"/>
      <c r="M40" s="169">
        <f>(AA26-CM26)</f>
        <v>5.85</v>
      </c>
      <c r="N40" s="169"/>
      <c r="O40" s="168">
        <f>(CM26-BY26)</f>
        <v>0.25</v>
      </c>
      <c r="P40" s="169"/>
      <c r="Q40" s="226">
        <f>K40*M40</f>
        <v>222.69707262943979</v>
      </c>
      <c r="R40" s="142"/>
      <c r="S40" s="226">
        <f>K40*O40</f>
        <v>9.5169689157880253</v>
      </c>
      <c r="T40" s="221"/>
      <c r="U40" s="221"/>
      <c r="V40" s="251">
        <f>Q40+S40</f>
        <v>232.21404154522781</v>
      </c>
      <c r="W40" s="254"/>
      <c r="X40" s="247">
        <f>(AA26-CM26)/2</f>
        <v>2.9249999999999998</v>
      </c>
      <c r="Y40" s="250"/>
      <c r="Z40" s="247">
        <f>(CM26-BY26)/2</f>
        <v>0.125</v>
      </c>
      <c r="AA40" s="250"/>
      <c r="AB40" s="251">
        <f>Q40*X40</f>
        <v>651.38893744111135</v>
      </c>
      <c r="AC40" s="252"/>
      <c r="AD40" s="251">
        <f>S40*Z40</f>
        <v>1.1896211144735032</v>
      </c>
      <c r="AE40" s="252"/>
      <c r="AF40" s="226">
        <f>AB40-AD40</f>
        <v>650.19931632663781</v>
      </c>
      <c r="AG40" s="221"/>
      <c r="AH40" s="142"/>
      <c r="AI40" s="226">
        <f>E40+V40</f>
        <v>480.07216372255698</v>
      </c>
      <c r="AJ40" s="221"/>
      <c r="AK40" s="142"/>
      <c r="AL40" s="251">
        <f>I40+AF40</f>
        <v>2459.5636082211408</v>
      </c>
      <c r="AM40" s="252"/>
      <c r="AN40" s="253"/>
      <c r="AO40" s="249">
        <f>BH29</f>
        <v>0</v>
      </c>
      <c r="AP40" s="169"/>
      <c r="AQ40" s="168">
        <f>IF(DB26&gt;DG26,BH30,0)</f>
        <v>3.7673353036859298</v>
      </c>
      <c r="AR40" s="169"/>
      <c r="AS40" s="168">
        <f>BH27</f>
        <v>31.610004491758616</v>
      </c>
      <c r="AT40" s="169"/>
      <c r="AU40" s="168">
        <f>BH26</f>
        <v>32.405509325703548</v>
      </c>
      <c r="AV40" s="169"/>
      <c r="AW40" s="247">
        <f>IF(DB26&gt;DG26,(DB26-DJ26),0)</f>
        <v>1.1839448180985883</v>
      </c>
      <c r="AX40" s="188"/>
      <c r="AY40" s="247">
        <f>IF(DB26&gt;DJ26,(DJ26-CM26),(DB26-CM26))</f>
        <v>8.75</v>
      </c>
      <c r="AZ40" s="188"/>
      <c r="BA40" s="247">
        <f>CM26-BY26</f>
        <v>0.25</v>
      </c>
      <c r="BB40" s="188"/>
      <c r="BC40" s="168">
        <f>IF(DG26&gt;DB26,((AQ40-AO40)*AW40)/2,0)</f>
        <v>0</v>
      </c>
      <c r="BD40" s="225"/>
      <c r="BE40" s="248">
        <f>AQ40*AY40</f>
        <v>32.964183907251886</v>
      </c>
      <c r="BF40" s="235"/>
      <c r="BG40" s="168">
        <f>SUM(BE40:BF41)</f>
        <v>154.77586160506991</v>
      </c>
      <c r="BH40" s="169"/>
      <c r="BI40" s="169"/>
      <c r="BJ40" s="236">
        <f>AQ40*BA40</f>
        <v>0.94183382592148246</v>
      </c>
      <c r="BK40" s="236"/>
      <c r="BL40" s="236"/>
      <c r="BM40" s="169">
        <f>SUM(BJ40:BL42)</f>
        <v>8.0019392271827705</v>
      </c>
      <c r="BN40" s="169"/>
      <c r="BO40" s="225"/>
      <c r="BP40" s="226">
        <f>BC40+BG40+BM40</f>
        <v>162.77780083225267</v>
      </c>
      <c r="BQ40" s="142"/>
      <c r="BR40" s="168">
        <f>IF(DB26&gt;DG26,((DB26-DG26)*(1/3))+(DG26-CD26),0)</f>
        <v>9.1446482726995288</v>
      </c>
      <c r="BS40" s="225"/>
      <c r="BT40" s="237">
        <f>IF(DB26&gt;DG26,(DJ26-CM26)*(1/2),0)</f>
        <v>4.375</v>
      </c>
      <c r="BU40" s="246"/>
      <c r="BV40" s="236">
        <f>(CD26-BY26)*(1/2)</f>
        <v>0.125</v>
      </c>
      <c r="BW40" s="236"/>
      <c r="BX40" s="226">
        <f>BR40*BC40</f>
        <v>0</v>
      </c>
      <c r="BY40" s="221"/>
      <c r="BZ40" s="242">
        <f>BT40*BE40</f>
        <v>144.21830459422699</v>
      </c>
      <c r="CA40" s="239"/>
      <c r="CB40" s="242">
        <f>BV40*BJ40</f>
        <v>0.11772922824018531</v>
      </c>
      <c r="CC40" s="239"/>
      <c r="CD40" s="226">
        <f>BX40+(SUM(BZ40:CA41))-(SUM(CB40:CC42))</f>
        <v>498.4979788884549</v>
      </c>
      <c r="CE40" s="244"/>
      <c r="CF40" s="72">
        <v>40</v>
      </c>
      <c r="CG40" s="73">
        <f>(1-SIN(CF40*PI()/180))/(1+SIN(CF40*PI()/180))</f>
        <v>0.21744283205399909</v>
      </c>
      <c r="CH40" s="231">
        <v>18</v>
      </c>
      <c r="CI40" s="232"/>
      <c r="CJ40" s="74">
        <f>CW26-EQ26</f>
        <v>2.7</v>
      </c>
      <c r="CK40" s="34">
        <f>AA26-AA26</f>
        <v>0</v>
      </c>
      <c r="CL40" s="233">
        <f>(1/2)*CG40*CH40*(CK40^2)</f>
        <v>0</v>
      </c>
      <c r="CM40" s="245"/>
      <c r="CN40" s="168">
        <f>CL41</f>
        <v>14.266424211062882</v>
      </c>
      <c r="CO40" s="225"/>
      <c r="CP40" s="169">
        <f>((CW26-EQ26)*(1/3))+(ET26-CD26)</f>
        <v>3.35</v>
      </c>
      <c r="CQ40" s="169"/>
      <c r="CR40" s="226">
        <f>CP40*CN40</f>
        <v>47.792521107060658</v>
      </c>
      <c r="CS40" s="244"/>
      <c r="CT40" s="78">
        <v>40</v>
      </c>
      <c r="CU40" s="73">
        <f>(1-SIN(CT40*PI()/180))/(1+SIN(CT40*PI()/180))</f>
        <v>0.21744283205399909</v>
      </c>
      <c r="CV40" s="231">
        <v>18</v>
      </c>
      <c r="CW40" s="232"/>
      <c r="CX40" s="74">
        <f>(ET26-EZ26)</f>
        <v>2.7</v>
      </c>
      <c r="CY40" s="86">
        <v>0</v>
      </c>
      <c r="CZ40" s="233">
        <f>CU40*CH40*CJ40*(CY41-CY40)</f>
        <v>25.890918012669676</v>
      </c>
      <c r="DA40" s="245"/>
      <c r="DB40" s="234">
        <f>(1/2)*CU40*CV40*(CY40^2)</f>
        <v>0</v>
      </c>
      <c r="DC40" s="234"/>
      <c r="DD40" s="239">
        <f>(1/2)*CU40*CV40*(CY40^2)</f>
        <v>0</v>
      </c>
      <c r="DE40" s="240"/>
      <c r="DF40" s="168">
        <f>CZ41+CZ42+DB41+DB42+DD42</f>
        <v>42.79927263318865</v>
      </c>
      <c r="DG40" s="225"/>
      <c r="DH40" s="235">
        <f>((ET26-CM26)*(1/2))</f>
        <v>1.2250000000000001</v>
      </c>
      <c r="DI40" s="235"/>
      <c r="DJ40" s="248">
        <f>((ET26-CD26)*(1/3))</f>
        <v>0.81666666666666665</v>
      </c>
      <c r="DK40" s="235"/>
      <c r="DL40" s="168">
        <f>((CM26-BY26)*(2/3))</f>
        <v>0.16666666666666666</v>
      </c>
      <c r="DM40" s="169"/>
      <c r="DN40" s="168">
        <f>(DH40*CZ41)-(CZ42*DH41)+(DJ40*DB41)-(DJ41*DB42)-(DD42*DL40)</f>
        <v>40.659309001529223</v>
      </c>
      <c r="DO40" s="238"/>
      <c r="DP40" s="173">
        <f>CN40+DF40</f>
        <v>57.065696844251534</v>
      </c>
      <c r="DQ40" s="174"/>
      <c r="DR40" s="172">
        <f>CR40+DN40</f>
        <v>88.451830108589888</v>
      </c>
      <c r="DS40" s="171"/>
      <c r="DT40" s="72">
        <v>40</v>
      </c>
      <c r="DU40" s="73">
        <f>(1+SIN(DT40*PI()/180))/(1-SIN(DT40*PI()/180))</f>
        <v>4.5989099321133891</v>
      </c>
      <c r="DV40" s="231">
        <v>18</v>
      </c>
      <c r="DW40" s="232"/>
      <c r="DX40" s="74">
        <f>(FJ26-CM26)</f>
        <v>1.35</v>
      </c>
      <c r="DY40" s="34">
        <v>0</v>
      </c>
      <c r="DZ40" s="233">
        <f>(1/2)*DU40*DV40*(DY40^2)</f>
        <v>0</v>
      </c>
      <c r="EA40" s="234"/>
      <c r="EB40" s="226">
        <f>DZ41</f>
        <v>75.43362016148987</v>
      </c>
      <c r="EC40" s="142"/>
      <c r="ED40" s="169">
        <f>(FJ26-CM26)*(1/3)</f>
        <v>0.45</v>
      </c>
      <c r="EE40" s="169"/>
      <c r="EF40" s="226">
        <f>ED40*EB40</f>
        <v>33.94512907267044</v>
      </c>
      <c r="EG40" s="221"/>
      <c r="EH40" s="72">
        <v>40</v>
      </c>
      <c r="EI40" s="73">
        <f>(1+SIN(EH40*PI()/180))/(1-SIN(EH40*PI()/180))</f>
        <v>4.5989099321133891</v>
      </c>
      <c r="EJ40" s="231">
        <v>18</v>
      </c>
      <c r="EK40" s="232"/>
      <c r="EL40" s="74">
        <f>(FS26-BY26)</f>
        <v>0.25</v>
      </c>
      <c r="EM40" s="34">
        <v>0</v>
      </c>
      <c r="EN40" s="233">
        <f>EI40*DV40*DX40*EL40</f>
        <v>27.938377837588838</v>
      </c>
      <c r="EO40" s="234"/>
      <c r="EP40" s="233">
        <f>(1/2)*EI40*EJ40*(EM40^2)</f>
        <v>0</v>
      </c>
      <c r="EQ40" s="234"/>
      <c r="ER40" s="168">
        <f>EN41+EP41</f>
        <v>30.525264674402621</v>
      </c>
      <c r="ES40" s="225"/>
      <c r="ET40" s="235">
        <f>(CD26-BY26)/2</f>
        <v>0.125</v>
      </c>
      <c r="EU40" s="235"/>
      <c r="EV40" s="168">
        <f>(ET40*EN41)+(EP41*ET41)</f>
        <v>3.9234450358342352</v>
      </c>
      <c r="EW40" s="169"/>
      <c r="EX40" s="170">
        <f>EB40+ER40</f>
        <v>105.95888483589249</v>
      </c>
      <c r="EY40" s="171"/>
      <c r="EZ40" s="172">
        <f>EF40-EV40</f>
        <v>30.021684036836206</v>
      </c>
      <c r="FA40" s="171"/>
      <c r="FB40" s="229">
        <v>25</v>
      </c>
      <c r="FC40" s="230"/>
      <c r="FD40" s="228">
        <f>(MIN(CG26:CL26)*CB26)*FB40</f>
        <v>12.5</v>
      </c>
      <c r="FE40" s="169"/>
      <c r="FF40" s="225"/>
      <c r="FG40" s="168">
        <f>(((MAX(CG26:CL26)-MIN(CG26:CL26))*CB26)/2)*FB40</f>
        <v>1.5625</v>
      </c>
      <c r="FH40" s="169"/>
      <c r="FI40" s="225"/>
      <c r="FJ40" s="221">
        <f>FD40+FG40</f>
        <v>14.0625</v>
      </c>
      <c r="FK40" s="221"/>
      <c r="FL40" s="221"/>
      <c r="FM40" s="168">
        <f>CO26-(MIN(CG26:CL26)/2)</f>
        <v>5.5</v>
      </c>
      <c r="FN40" s="169"/>
      <c r="FO40" s="169"/>
      <c r="FP40" s="168">
        <f>CO26-(MIN(CG26:CL26)+((MAX(CG26:CL26)-MIN(CG26:CL26))*(1/3)))</f>
        <v>4.3333333333333339</v>
      </c>
      <c r="FQ40" s="169"/>
      <c r="FR40" s="225"/>
      <c r="FS40" s="221">
        <f>(FD40*FM40)+(FP40*FG40)</f>
        <v>75.520833333333329</v>
      </c>
      <c r="FT40" s="221"/>
      <c r="FU40" s="221"/>
      <c r="FV40" s="228">
        <f>((CS26-CM26)*CO26)*FB40</f>
        <v>219.375</v>
      </c>
      <c r="FW40" s="225"/>
      <c r="FX40" s="168">
        <f>CO26/2</f>
        <v>3.25</v>
      </c>
      <c r="FY40" s="169"/>
      <c r="FZ40" s="225"/>
      <c r="GA40" s="226">
        <f>FV40*FX40</f>
        <v>712.96875</v>
      </c>
      <c r="GB40" s="221"/>
      <c r="GC40" s="227"/>
      <c r="GD40" s="169">
        <f>(MIN(DP26:DS26)*DL26)*FB40</f>
        <v>86.25</v>
      </c>
      <c r="GE40" s="169"/>
      <c r="GF40" s="225"/>
      <c r="GG40" s="168">
        <f>(((MAX(DP26:DS26)-MIN(DP26:DS26))*DL26)/2)*FB40</f>
        <v>5.6250000000000053</v>
      </c>
      <c r="GH40" s="169"/>
      <c r="GI40" s="169"/>
      <c r="GJ40" s="226">
        <f>GD40+GG40</f>
        <v>91.875</v>
      </c>
      <c r="GK40" s="221"/>
      <c r="GL40" s="221"/>
      <c r="GM40" s="168">
        <f>CO26-(MIN(DP26:DS26)/2)</f>
        <v>5.35</v>
      </c>
      <c r="GN40" s="225"/>
      <c r="GO40" s="168">
        <f>CO26-(MIN(DP26:DS26)+((MAX(DP26:DS26)-MIN(DP26:DS26))*(1/3)))</f>
        <v>4.0999999999999996</v>
      </c>
      <c r="GP40" s="225"/>
      <c r="GQ40" s="218">
        <f>(GD40*GM40)+(GG40*GO40)</f>
        <v>484.49999999999994</v>
      </c>
      <c r="GR40" s="218"/>
      <c r="GS40" s="218"/>
      <c r="GT40" s="224">
        <f>(MIN(DZ26:EC26)*DV26)*FB40</f>
        <v>195</v>
      </c>
      <c r="GU40" s="223"/>
      <c r="GV40" s="216"/>
      <c r="GW40" s="211">
        <f>(((MAX(DZ26:EC26)-MIN(DZ26:EC26))*DV26)/2)*FB40</f>
        <v>7.5000000000000071</v>
      </c>
      <c r="GX40" s="223"/>
      <c r="GY40" s="216"/>
      <c r="GZ40" s="213">
        <f>GT40+GW40</f>
        <v>202.5</v>
      </c>
      <c r="HA40" s="218"/>
      <c r="HB40" s="218"/>
      <c r="HC40" s="168">
        <f>CO26-(MIN(DZ26:EC26)/2)</f>
        <v>4.55</v>
      </c>
      <c r="HD40" s="225"/>
      <c r="HE40" s="168">
        <f>CO26-(MIN(DZ26:EC26)+((MAX(DZ26:EC26)-MIN(DZ26:EC26))*(1/3)))</f>
        <v>2.5</v>
      </c>
      <c r="HF40" s="169"/>
      <c r="HG40" s="213">
        <f>(GT40*HC40)+(GW40*HE40)</f>
        <v>906</v>
      </c>
      <c r="HH40" s="218"/>
      <c r="HI40" s="218"/>
      <c r="HJ40" s="224">
        <f>(MIN(EJ26:EM26)*EF26)*FB40</f>
        <v>536.25</v>
      </c>
      <c r="HK40" s="223"/>
      <c r="HL40" s="223"/>
      <c r="HM40" s="211">
        <f>(((MAX(EJ26:EM26)-MIN(EJ26:EM26))*EF26)/2)*FB40</f>
        <v>0</v>
      </c>
      <c r="HN40" s="223"/>
      <c r="HO40" s="223"/>
      <c r="HP40" s="213">
        <f>HJ40+HM40</f>
        <v>536.25</v>
      </c>
      <c r="HQ40" s="218"/>
      <c r="HR40" s="218"/>
      <c r="HS40" s="168">
        <f>CO26-(MIN(EJ26:EM26)/2)</f>
        <v>3.75</v>
      </c>
      <c r="HT40" s="225"/>
      <c r="HU40" s="168">
        <f>CO26-(MIN(EJ26:EM26)+((MAX(EJ26:EM26)-MIN(EJ26:EM26))*(1/3)))</f>
        <v>1</v>
      </c>
      <c r="HV40" s="169"/>
      <c r="HW40" s="213">
        <f>(HJ40*HS40)+(HM40*HU40)</f>
        <v>2010.9375</v>
      </c>
      <c r="HX40" s="218"/>
      <c r="HY40" s="219"/>
      <c r="HZ40" s="220">
        <f>FJ40+FV40+GJ40+GZ40+HP40</f>
        <v>1064.0625</v>
      </c>
      <c r="IA40" s="221"/>
      <c r="IB40" s="221"/>
      <c r="IC40" s="213">
        <f>FS40+GA40+GQ40+HG40+HW40</f>
        <v>4189.927083333333</v>
      </c>
      <c r="ID40" s="218"/>
      <c r="IE40" s="222"/>
      <c r="IF40" s="223">
        <f>BI26</f>
        <v>38.067875663152101</v>
      </c>
      <c r="IG40" s="223"/>
      <c r="IH40" s="211">
        <f>BN26</f>
        <v>0</v>
      </c>
      <c r="II40" s="216"/>
      <c r="IJ40" s="223">
        <f>((IF40-IH40)*CO26)/2</f>
        <v>123.72059590524432</v>
      </c>
      <c r="IK40" s="223"/>
      <c r="IL40" s="211">
        <f>CO26*(2/3)</f>
        <v>4.333333333333333</v>
      </c>
      <c r="IM40" s="212"/>
      <c r="IN40" s="213">
        <f>IJ40*IL40</f>
        <v>536.12258225605865</v>
      </c>
      <c r="IO40" s="214"/>
      <c r="IP40" s="215">
        <f>BL26</f>
        <v>32.405509325703548</v>
      </c>
      <c r="IQ40" s="216"/>
      <c r="IR40" s="203">
        <f>BW26</f>
        <v>15.392616929709185</v>
      </c>
      <c r="IS40" s="217"/>
      <c r="IT40" s="215">
        <f>((IP40-IR40)*CO26)/2</f>
        <v>55.291900286981679</v>
      </c>
      <c r="IU40" s="216"/>
      <c r="IV40" s="203">
        <f>IR40*CO26</f>
        <v>100.0520100431097</v>
      </c>
      <c r="IW40" s="204"/>
      <c r="IX40" s="201">
        <f>IT40+IV40</f>
        <v>155.34391033009138</v>
      </c>
      <c r="IY40" s="202"/>
      <c r="IZ40" s="203">
        <f>CO26*(2/3)</f>
        <v>4.333333333333333</v>
      </c>
      <c r="JA40" s="204"/>
      <c r="JB40" s="203">
        <f>CO26/2</f>
        <v>3.25</v>
      </c>
      <c r="JC40" s="203"/>
      <c r="JD40" s="201">
        <f>(IT40*IZ40)+(IV40*JB40)</f>
        <v>564.7672672170271</v>
      </c>
      <c r="JE40" s="205"/>
    </row>
    <row r="41" spans="1:282" ht="15.75" thickBot="1">
      <c r="E41" s="63"/>
      <c r="G41" s="63"/>
      <c r="Q41" s="63"/>
      <c r="S41" s="63"/>
      <c r="V41" s="63"/>
      <c r="X41" s="63"/>
      <c r="AX41" s="64"/>
      <c r="AY41" s="64"/>
      <c r="BC41" s="63"/>
      <c r="BE41" s="164">
        <f>(((AS40-AQ40)*AY40)/2)</f>
        <v>121.81167769781801</v>
      </c>
      <c r="BF41" s="206"/>
      <c r="BG41" s="100"/>
      <c r="BH41" s="48"/>
      <c r="BJ41" s="207">
        <f>(AS40-AQ40)*BA40</f>
        <v>6.9606672970181718</v>
      </c>
      <c r="BK41" s="208"/>
      <c r="BL41" s="209"/>
      <c r="BP41" s="61"/>
      <c r="BQ41" s="46"/>
      <c r="BR41" s="63"/>
      <c r="BS41" s="46"/>
      <c r="BT41" s="164">
        <f>IF(DB26&gt;DG26,((DJ26-CM26)*(1/3)),((DB26-CM26)*(1/3)))</f>
        <v>2.9166666666666665</v>
      </c>
      <c r="BU41" s="206"/>
      <c r="BV41" s="210">
        <f>(CD26-BY26)*(1/2)</f>
        <v>0.125</v>
      </c>
      <c r="BW41" s="198"/>
      <c r="BX41" s="63"/>
      <c r="BY41" s="63"/>
      <c r="BZ41" s="156">
        <f>BT41*BE41</f>
        <v>355.2840599519692</v>
      </c>
      <c r="CA41" s="160"/>
      <c r="CB41" s="195">
        <f>BV41*BJ41</f>
        <v>0.87008341212727147</v>
      </c>
      <c r="CC41" s="196"/>
      <c r="CD41" s="63"/>
      <c r="CE41" s="63"/>
      <c r="CK41" s="35">
        <f>CW26-EQ26</f>
        <v>2.7</v>
      </c>
      <c r="CL41" s="160">
        <f>(1/2)*CG40*CH40*(CK41^2)</f>
        <v>14.266424211062882</v>
      </c>
      <c r="CM41" s="163"/>
      <c r="CX41" s="6"/>
      <c r="CY41" s="107">
        <f>ET26-CD26</f>
        <v>2.4500000000000002</v>
      </c>
      <c r="CZ41" s="166">
        <f>CU40*CH40*CJ40*CY41</f>
        <v>25.890918012669676</v>
      </c>
      <c r="DA41" s="167"/>
      <c r="DB41" s="194">
        <f>(1/2)*CU40*CV40*(CY41^2)</f>
        <v>11.746805394637169</v>
      </c>
      <c r="DC41" s="194"/>
      <c r="DD41" s="166">
        <f>(1/2)*CU40*CV40*(CY40^2)</f>
        <v>0</v>
      </c>
      <c r="DE41" s="466"/>
      <c r="DF41" s="106"/>
      <c r="DG41" s="43"/>
      <c r="DH41" s="164">
        <f>((CM26-BY26)*(1/2))</f>
        <v>0.125</v>
      </c>
      <c r="DI41" s="206"/>
      <c r="DJ41" s="192">
        <f>((CM26-BY26)*(1/2))</f>
        <v>0.125</v>
      </c>
      <c r="DK41" s="165"/>
      <c r="DP41" s="185" t="s">
        <v>178</v>
      </c>
      <c r="DQ41" s="185"/>
      <c r="DR41" s="185"/>
      <c r="DS41" s="185"/>
      <c r="DV41" s="87"/>
      <c r="DW41" s="87"/>
      <c r="DX41" s="87"/>
      <c r="DY41" s="35">
        <f>DX40</f>
        <v>1.35</v>
      </c>
      <c r="DZ41" s="160">
        <f>(1/2)*DU40*DV40*(DY41^2)</f>
        <v>75.43362016148987</v>
      </c>
      <c r="EA41" s="163"/>
      <c r="EB41" s="87"/>
      <c r="EC41" s="87"/>
      <c r="ED41" s="87"/>
      <c r="EE41" s="87"/>
      <c r="EF41" s="87"/>
      <c r="EG41" s="87"/>
      <c r="EH41" s="45"/>
      <c r="EI41" s="87"/>
      <c r="EJ41" s="87"/>
      <c r="EK41" s="87"/>
      <c r="EL41" s="87"/>
      <c r="EM41" s="35">
        <f>EL40</f>
        <v>0.25</v>
      </c>
      <c r="EN41" s="160">
        <f>EI40*DV40*DX40*EL40</f>
        <v>27.938377837588838</v>
      </c>
      <c r="EO41" s="162"/>
      <c r="EP41" s="160">
        <f>(1/2)*EI40*EJ40*(EM41^2)</f>
        <v>2.5868868368137812</v>
      </c>
      <c r="EQ41" s="163"/>
      <c r="ER41" s="87"/>
      <c r="ES41" s="87"/>
      <c r="ET41" s="164">
        <f>(CD26-BY26)*(2/3)</f>
        <v>0.16666666666666666</v>
      </c>
      <c r="EU41" s="165"/>
      <c r="EV41" s="87"/>
      <c r="EW41" s="87"/>
      <c r="EX41" s="185" t="s">
        <v>178</v>
      </c>
      <c r="EY41" s="185"/>
      <c r="EZ41" s="185"/>
      <c r="FA41" s="185"/>
      <c r="FJ41" s="61"/>
      <c r="FL41" s="61"/>
      <c r="GJ41" s="62"/>
      <c r="GZ41" s="61"/>
      <c r="HB41" s="6"/>
      <c r="HP41" s="62"/>
      <c r="IJ41" s="62"/>
      <c r="IT41" s="62"/>
      <c r="IV41" s="62"/>
      <c r="IX41" s="62"/>
    </row>
    <row r="42" spans="1:282" ht="15.75" thickBot="1">
      <c r="BE42" s="64"/>
      <c r="BF42" s="6"/>
      <c r="BJ42" s="187">
        <f>((AU40-AS40)*BA40)/2</f>
        <v>9.9438104243116499E-2</v>
      </c>
      <c r="BK42" s="188"/>
      <c r="BL42" s="189"/>
      <c r="BT42" s="63"/>
      <c r="BU42" s="46"/>
      <c r="BV42" s="158">
        <f>(CD26-BY26)*(2/3)</f>
        <v>0.16666666666666666</v>
      </c>
      <c r="BW42" s="159"/>
      <c r="CB42" s="190">
        <f>BV42*BJ42</f>
        <v>1.657301737385275E-2</v>
      </c>
      <c r="CC42" s="191"/>
      <c r="CY42" s="76">
        <f>CX40</f>
        <v>2.7</v>
      </c>
      <c r="CZ42" s="160">
        <f>CU40*CH40*CJ40*(CY42-CY41)</f>
        <v>2.6419304094560894</v>
      </c>
      <c r="DA42" s="161"/>
      <c r="DB42" s="162">
        <f>CU40*CV40*CY41*(CY42-CY41)</f>
        <v>2.3973072233953401</v>
      </c>
      <c r="DC42" s="162"/>
      <c r="DD42" s="160">
        <f>(1/2)*CU40*CV40*(CY42-CY41)^2</f>
        <v>0.12231159303037449</v>
      </c>
      <c r="DE42" s="163"/>
      <c r="DP42" s="186"/>
      <c r="DQ42" s="186"/>
      <c r="DR42" s="186"/>
      <c r="DS42" s="186"/>
      <c r="EX42" s="186"/>
      <c r="EY42" s="186"/>
      <c r="EZ42" s="186"/>
      <c r="FA42" s="186"/>
    </row>
    <row r="43" spans="1:282">
      <c r="BE43" s="63"/>
      <c r="BJ43" s="64"/>
      <c r="BK43" s="6"/>
      <c r="BT43" s="63"/>
      <c r="BU43" s="48"/>
      <c r="BV43" s="63"/>
      <c r="BW43" s="46"/>
      <c r="CD43" s="6"/>
      <c r="FD43" s="6"/>
    </row>
    <row r="44" spans="1:282">
      <c r="BH44" s="6"/>
      <c r="BJ44" s="64"/>
      <c r="BK44" s="6"/>
      <c r="JV44" s="6"/>
    </row>
    <row r="45" spans="1:282">
      <c r="BJ45" s="63"/>
      <c r="IN45" s="6"/>
    </row>
    <row r="50" spans="1:42" ht="15.75" thickBot="1">
      <c r="F50" s="184" t="str">
        <f>IF(G54="Não verifica","Aumenta o peso da estrutura","")</f>
        <v/>
      </c>
      <c r="G50" s="184"/>
      <c r="H50" s="184"/>
      <c r="O50" s="184" t="str">
        <f>IF(P54="Não verifica","Aumenta o peso da estrutura","")</f>
        <v/>
      </c>
      <c r="P50" s="184"/>
      <c r="Q50" s="184"/>
      <c r="AA50" s="184" t="str">
        <f>IF(AB54="Não verifica","Aumenta o peso da estrutura","")</f>
        <v/>
      </c>
      <c r="AB50" s="184"/>
      <c r="AC50" s="184"/>
      <c r="AK50" s="184" t="str">
        <f>IF(AL54="Não verifica","Aumenta o peso da estrutura","")</f>
        <v/>
      </c>
      <c r="AL50" s="184"/>
      <c r="AM50" s="184"/>
    </row>
    <row r="51" spans="1:42" ht="16.5" thickBot="1">
      <c r="A51" s="138" t="s">
        <v>272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83" t="s">
        <v>273</v>
      </c>
      <c r="M51" s="139"/>
      <c r="N51" s="139"/>
      <c r="O51" s="139"/>
      <c r="P51" s="139"/>
      <c r="Q51" s="139"/>
      <c r="R51" s="139"/>
      <c r="S51" s="139"/>
      <c r="T51" s="139"/>
      <c r="U51" s="140"/>
      <c r="V51" s="138" t="s">
        <v>271</v>
      </c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83" t="s">
        <v>270</v>
      </c>
      <c r="AH51" s="139"/>
      <c r="AI51" s="139"/>
      <c r="AJ51" s="139"/>
      <c r="AK51" s="139"/>
      <c r="AL51" s="139"/>
      <c r="AM51" s="139"/>
      <c r="AN51" s="139"/>
      <c r="AO51" s="139"/>
      <c r="AP51" s="140"/>
    </row>
    <row r="52" spans="1:42" ht="15.75" customHeight="1" thickTop="1">
      <c r="A52" s="182" t="s">
        <v>314</v>
      </c>
      <c r="B52" s="179" t="s">
        <v>313</v>
      </c>
      <c r="C52" s="179" t="s">
        <v>315</v>
      </c>
      <c r="D52" s="147" t="s">
        <v>231</v>
      </c>
      <c r="E52" s="148"/>
      <c r="F52" s="147" t="s">
        <v>268</v>
      </c>
      <c r="G52" s="148"/>
      <c r="H52" s="149"/>
      <c r="I52" s="147" t="s">
        <v>7</v>
      </c>
      <c r="J52" s="148"/>
      <c r="K52" s="148"/>
      <c r="L52" s="180" t="s">
        <v>316</v>
      </c>
      <c r="M52" s="179" t="s">
        <v>317</v>
      </c>
      <c r="N52" s="147" t="s">
        <v>318</v>
      </c>
      <c r="O52" s="147" t="s">
        <v>269</v>
      </c>
      <c r="P52" s="148"/>
      <c r="Q52" s="149"/>
      <c r="R52" s="147" t="s">
        <v>7</v>
      </c>
      <c r="S52" s="148"/>
      <c r="T52" s="148"/>
      <c r="U52" s="181"/>
      <c r="V52" s="182" t="s">
        <v>314</v>
      </c>
      <c r="W52" s="179" t="s">
        <v>313</v>
      </c>
      <c r="X52" s="179" t="s">
        <v>315</v>
      </c>
      <c r="Y52" s="147" t="s">
        <v>231</v>
      </c>
      <c r="Z52" s="148"/>
      <c r="AA52" s="147" t="s">
        <v>268</v>
      </c>
      <c r="AB52" s="148"/>
      <c r="AC52" s="149"/>
      <c r="AD52" s="147" t="s">
        <v>7</v>
      </c>
      <c r="AE52" s="148"/>
      <c r="AF52" s="148"/>
      <c r="AG52" s="440" t="s">
        <v>316</v>
      </c>
      <c r="AH52" s="148"/>
      <c r="AI52" s="179" t="s">
        <v>317</v>
      </c>
      <c r="AJ52" s="147" t="s">
        <v>318</v>
      </c>
      <c r="AK52" s="147" t="s">
        <v>268</v>
      </c>
      <c r="AL52" s="148"/>
      <c r="AM52" s="149"/>
      <c r="AN52" s="150" t="s">
        <v>7</v>
      </c>
      <c r="AO52" s="151"/>
      <c r="AP52" s="152"/>
    </row>
    <row r="53" spans="1:42" ht="15.75" thickBot="1">
      <c r="A53" s="182"/>
      <c r="B53" s="179"/>
      <c r="C53" s="179"/>
      <c r="D53" s="147"/>
      <c r="E53" s="148"/>
      <c r="F53" s="147"/>
      <c r="G53" s="148"/>
      <c r="H53" s="149"/>
      <c r="I53" s="147"/>
      <c r="J53" s="148"/>
      <c r="K53" s="148"/>
      <c r="L53" s="180"/>
      <c r="M53" s="179"/>
      <c r="N53" s="147"/>
      <c r="O53" s="147"/>
      <c r="P53" s="148"/>
      <c r="Q53" s="149"/>
      <c r="R53" s="147"/>
      <c r="S53" s="148"/>
      <c r="T53" s="148"/>
      <c r="U53" s="181"/>
      <c r="V53" s="182"/>
      <c r="W53" s="179"/>
      <c r="X53" s="179"/>
      <c r="Y53" s="147"/>
      <c r="Z53" s="148"/>
      <c r="AA53" s="147"/>
      <c r="AB53" s="148"/>
      <c r="AC53" s="149"/>
      <c r="AD53" s="147"/>
      <c r="AE53" s="148"/>
      <c r="AF53" s="148"/>
      <c r="AG53" s="440"/>
      <c r="AH53" s="148"/>
      <c r="AI53" s="179"/>
      <c r="AJ53" s="147"/>
      <c r="AK53" s="147"/>
      <c r="AL53" s="148"/>
      <c r="AM53" s="149"/>
      <c r="AN53" s="153"/>
      <c r="AO53" s="154"/>
      <c r="AP53" s="155"/>
    </row>
    <row r="54" spans="1:42" ht="15.75" thickBot="1">
      <c r="A54" s="65">
        <f>AI40+DP40-EX40</f>
        <v>431.17897573091602</v>
      </c>
      <c r="B54" s="88">
        <f>HZ40</f>
        <v>1064.0625</v>
      </c>
      <c r="C54" s="88">
        <f>IJ40</f>
        <v>123.72059590524432</v>
      </c>
      <c r="D54" s="175">
        <v>0.8</v>
      </c>
      <c r="E54" s="175"/>
      <c r="F54" s="79">
        <f>((D54*(B54-C54))/A54)</f>
        <v>1.7446897126664929</v>
      </c>
      <c r="G54" s="176" t="str">
        <f>IF(F54&gt;=1.2,"Verifica","Não verifica")</f>
        <v>Verifica</v>
      </c>
      <c r="H54" s="142"/>
      <c r="I54" s="79">
        <f>(D54*(B54-C54))-A54</f>
        <v>321.09454754488854</v>
      </c>
      <c r="J54" s="177" t="str">
        <f>IF((D54*(B54-C54))&gt;=A54,"Verifica","Não verifica")</f>
        <v>Verifica</v>
      </c>
      <c r="K54" s="178"/>
      <c r="L54" s="66">
        <f>AL40+DR40-EZ40</f>
        <v>2517.9937542928947</v>
      </c>
      <c r="M54" s="88">
        <f>IC40</f>
        <v>4189.927083333333</v>
      </c>
      <c r="N54" s="88">
        <f>IN40</f>
        <v>536.12258225605865</v>
      </c>
      <c r="O54" s="79">
        <f>((M54-N54)/L54)</f>
        <v>1.4510776664350142</v>
      </c>
      <c r="P54" s="176" t="str">
        <f>IF(O54&gt;=1.4,"Verifica","Não verifica")</f>
        <v>Verifica</v>
      </c>
      <c r="Q54" s="142"/>
      <c r="R54" s="79">
        <f>M54-N54-L54</f>
        <v>1135.8107467843797</v>
      </c>
      <c r="S54" s="177" t="str">
        <f>IF(((M54-N54)&gt;=L54),"Verifica","Não verifica")</f>
        <v>Verifica</v>
      </c>
      <c r="T54" s="144"/>
      <c r="U54" s="146"/>
      <c r="V54" s="65">
        <f>BP40+DP40-EX40</f>
        <v>113.88461284061171</v>
      </c>
      <c r="W54" s="88">
        <f>HZ40</f>
        <v>1064.0625</v>
      </c>
      <c r="X54" s="88">
        <f>IX40</f>
        <v>155.34391033009138</v>
      </c>
      <c r="Y54" s="175">
        <v>0.8</v>
      </c>
      <c r="Z54" s="175"/>
      <c r="AA54" s="79">
        <f>((Y54*(W54-X54))/V54)</f>
        <v>6.3834336667884326</v>
      </c>
      <c r="AB54" s="141" t="str">
        <f>IF(AA54&gt;=1.2,"Verifica","Não verifica")</f>
        <v>Verifica</v>
      </c>
      <c r="AC54" s="142"/>
      <c r="AD54" s="79">
        <f>(Y54*(W54-X54))-V54</f>
        <v>613.09025889531529</v>
      </c>
      <c r="AE54" s="143" t="str">
        <f>IF((Y54*(W54-X54))&gt;=V54,"Verifica","Não verifica")</f>
        <v>Verifica</v>
      </c>
      <c r="AF54" s="144"/>
      <c r="AG54" s="145">
        <f>CD40+DR40-EZ40</f>
        <v>556.92812496020861</v>
      </c>
      <c r="AH54" s="142"/>
      <c r="AI54" s="67">
        <f>IC40</f>
        <v>4189.927083333333</v>
      </c>
      <c r="AJ54" s="88">
        <f>JD40</f>
        <v>564.7672672170271</v>
      </c>
      <c r="AK54" s="79">
        <f>((AI54-AJ54)/AG54)</f>
        <v>6.5092058627409353</v>
      </c>
      <c r="AL54" s="141" t="str">
        <f>IF(AK54&gt;=1.4,"Verifica","Não verifica")</f>
        <v>Verifica</v>
      </c>
      <c r="AM54" s="142"/>
      <c r="AN54" s="79">
        <f>AI54-AJ54-AG54</f>
        <v>3068.2316911560974</v>
      </c>
      <c r="AO54" s="143" t="str">
        <f>IF((AI54-AJ54)&gt;=AG54,"Verifica","Não verifica")</f>
        <v>Verifica</v>
      </c>
      <c r="AP54" s="146"/>
    </row>
    <row r="56" spans="1:42" ht="15" customHeight="1">
      <c r="L56" s="6"/>
      <c r="AN56" t="s">
        <v>2</v>
      </c>
    </row>
    <row r="58" spans="1:42">
      <c r="AC58" t="s">
        <v>2</v>
      </c>
    </row>
    <row r="60" spans="1:42">
      <c r="M60" t="s">
        <v>2</v>
      </c>
      <c r="Q60" t="s">
        <v>2</v>
      </c>
    </row>
  </sheetData>
  <mergeCells count="643">
    <mergeCell ref="BD17:BE17"/>
    <mergeCell ref="A23:AG23"/>
    <mergeCell ref="AH23:AY23"/>
    <mergeCell ref="AZ23:BH23"/>
    <mergeCell ref="BI23:BX23"/>
    <mergeCell ref="A6:E6"/>
    <mergeCell ref="AI52:AI53"/>
    <mergeCell ref="AJ52:AJ53"/>
    <mergeCell ref="AG52:AH53"/>
    <mergeCell ref="A4:C4"/>
    <mergeCell ref="K5:L5"/>
    <mergeCell ref="V5:W5"/>
    <mergeCell ref="AI5:AJ5"/>
    <mergeCell ref="AZ5:BA5"/>
    <mergeCell ref="A8:H8"/>
    <mergeCell ref="A14:H18"/>
    <mergeCell ref="AV14:AV16"/>
    <mergeCell ref="AW14:AW16"/>
    <mergeCell ref="AX14:AX16"/>
    <mergeCell ref="AY14:AY16"/>
    <mergeCell ref="AZ14:AZ16"/>
    <mergeCell ref="A11:H13"/>
    <mergeCell ref="AV12:AZ12"/>
    <mergeCell ref="FF5:FG5"/>
    <mergeCell ref="FS5:FT5"/>
    <mergeCell ref="GH5:GI5"/>
    <mergeCell ref="GX5:GY5"/>
    <mergeCell ref="DI6:DK7"/>
    <mergeCell ref="DL6:DN7"/>
    <mergeCell ref="DO6:DP7"/>
    <mergeCell ref="DQ6:DR7"/>
    <mergeCell ref="BN5:BO5"/>
    <mergeCell ref="BY5:BZ5"/>
    <mergeCell ref="CI5:CL5"/>
    <mergeCell ref="DA5:DF5"/>
    <mergeCell ref="DI5:DY5"/>
    <mergeCell ref="EU5:EV5"/>
    <mergeCell ref="EP6:EQ7"/>
    <mergeCell ref="DA7:DE7"/>
    <mergeCell ref="EJ6:EK7"/>
    <mergeCell ref="EL6:EM7"/>
    <mergeCell ref="EN6:EO7"/>
    <mergeCell ref="DB8:DC8"/>
    <mergeCell ref="DD8:DE8"/>
    <mergeCell ref="DI8:DK8"/>
    <mergeCell ref="DL8:DN8"/>
    <mergeCell ref="DO8:DP8"/>
    <mergeCell ref="EE6:EF7"/>
    <mergeCell ref="EG6:EG7"/>
    <mergeCell ref="EH6:EI7"/>
    <mergeCell ref="DS6:DT7"/>
    <mergeCell ref="DU6:DV7"/>
    <mergeCell ref="DW6:DX7"/>
    <mergeCell ref="DY6:DZ7"/>
    <mergeCell ref="EA6:EB7"/>
    <mergeCell ref="EC6:ED7"/>
    <mergeCell ref="EP8:EQ8"/>
    <mergeCell ref="A9:H10"/>
    <mergeCell ref="DB9:DC9"/>
    <mergeCell ref="DD9:DE10"/>
    <mergeCell ref="DB10:DC10"/>
    <mergeCell ref="DI10:DK11"/>
    <mergeCell ref="DL10:DN11"/>
    <mergeCell ref="DO10:DP11"/>
    <mergeCell ref="DQ10:DR11"/>
    <mergeCell ref="DS10:DT11"/>
    <mergeCell ref="EC8:ED8"/>
    <mergeCell ref="EE8:EF8"/>
    <mergeCell ref="EH8:EI8"/>
    <mergeCell ref="EJ8:EK8"/>
    <mergeCell ref="EL8:EM8"/>
    <mergeCell ref="EN8:EO8"/>
    <mergeCell ref="DQ8:DR8"/>
    <mergeCell ref="DS8:DT8"/>
    <mergeCell ref="DU8:DV8"/>
    <mergeCell ref="DW8:DX8"/>
    <mergeCell ref="DY8:DZ8"/>
    <mergeCell ref="EA8:EB8"/>
    <mergeCell ref="EG10:EG11"/>
    <mergeCell ref="EH10:EI11"/>
    <mergeCell ref="EJ10:EK11"/>
    <mergeCell ref="EL10:EM11"/>
    <mergeCell ref="EN10:EO11"/>
    <mergeCell ref="EP10:EQ11"/>
    <mergeCell ref="DU10:DV11"/>
    <mergeCell ref="DW10:DX11"/>
    <mergeCell ref="DY10:DZ11"/>
    <mergeCell ref="EA10:EB11"/>
    <mergeCell ref="EC10:ED11"/>
    <mergeCell ref="EE10:EF11"/>
    <mergeCell ref="BC14:BC15"/>
    <mergeCell ref="BD14:BE15"/>
    <mergeCell ref="DB14:DC14"/>
    <mergeCell ref="DD14:DE15"/>
    <mergeCell ref="DI14:DK15"/>
    <mergeCell ref="DL14:DN15"/>
    <mergeCell ref="EA12:EB12"/>
    <mergeCell ref="EC12:ED12"/>
    <mergeCell ref="EE12:EF12"/>
    <mergeCell ref="DO12:DP12"/>
    <mergeCell ref="DQ12:DR12"/>
    <mergeCell ref="DS12:DT12"/>
    <mergeCell ref="DU12:DV12"/>
    <mergeCell ref="DW12:DX12"/>
    <mergeCell ref="DY12:DZ12"/>
    <mergeCell ref="BC12:BF12"/>
    <mergeCell ref="EN12:EO12"/>
    <mergeCell ref="EP12:EQ12"/>
    <mergeCell ref="DB13:DC13"/>
    <mergeCell ref="DD13:DE13"/>
    <mergeCell ref="EH12:EI12"/>
    <mergeCell ref="EJ12:EK12"/>
    <mergeCell ref="EL12:EM12"/>
    <mergeCell ref="EN14:EO15"/>
    <mergeCell ref="EP14:EQ15"/>
    <mergeCell ref="DB15:DC15"/>
    <mergeCell ref="EG14:EG15"/>
    <mergeCell ref="EH14:EI15"/>
    <mergeCell ref="EJ14:EK15"/>
    <mergeCell ref="DA12:DE12"/>
    <mergeCell ref="DI12:DK12"/>
    <mergeCell ref="DL12:DN12"/>
    <mergeCell ref="DA17:DE17"/>
    <mergeCell ref="DU16:DV16"/>
    <mergeCell ref="DW16:DX16"/>
    <mergeCell ref="DY16:DZ16"/>
    <mergeCell ref="EA16:EB16"/>
    <mergeCell ref="EC16:ED16"/>
    <mergeCell ref="EE16:EF16"/>
    <mergeCell ref="EL14:EM15"/>
    <mergeCell ref="BD16:BE16"/>
    <mergeCell ref="DI16:DK16"/>
    <mergeCell ref="DL16:DN16"/>
    <mergeCell ref="DO16:DP16"/>
    <mergeCell ref="DQ16:DR16"/>
    <mergeCell ref="DS16:DT16"/>
    <mergeCell ref="EA14:EB15"/>
    <mergeCell ref="EC14:ED15"/>
    <mergeCell ref="EE14:EF15"/>
    <mergeCell ref="DO14:DP15"/>
    <mergeCell ref="DQ14:DR15"/>
    <mergeCell ref="DS14:DT15"/>
    <mergeCell ref="DU14:DV15"/>
    <mergeCell ref="DW14:DX15"/>
    <mergeCell ref="DY14:DZ15"/>
    <mergeCell ref="EH16:EI16"/>
    <mergeCell ref="EJ16:EK16"/>
    <mergeCell ref="EL16:EM16"/>
    <mergeCell ref="EN16:EO16"/>
    <mergeCell ref="EP16:EQ16"/>
    <mergeCell ref="EN18:EO19"/>
    <mergeCell ref="EP18:EQ19"/>
    <mergeCell ref="EE18:EF19"/>
    <mergeCell ref="EG18:EG19"/>
    <mergeCell ref="EH18:EI19"/>
    <mergeCell ref="EJ18:EK19"/>
    <mergeCell ref="EL18:EM19"/>
    <mergeCell ref="DB19:DC19"/>
    <mergeCell ref="DD19:DE20"/>
    <mergeCell ref="AE20:AG22"/>
    <mergeCell ref="DB20:DC20"/>
    <mergeCell ref="DI20:DK20"/>
    <mergeCell ref="DL20:DN20"/>
    <mergeCell ref="DO20:DP20"/>
    <mergeCell ref="DQ20:DR20"/>
    <mergeCell ref="EC18:ED19"/>
    <mergeCell ref="DQ18:DR19"/>
    <mergeCell ref="DS18:DT19"/>
    <mergeCell ref="DU18:DV19"/>
    <mergeCell ref="DW18:DX19"/>
    <mergeCell ref="DY18:DZ19"/>
    <mergeCell ref="EA18:EB19"/>
    <mergeCell ref="BD18:BE18"/>
    <mergeCell ref="DB18:DC18"/>
    <mergeCell ref="DD18:DE18"/>
    <mergeCell ref="DI18:DK19"/>
    <mergeCell ref="DL18:DN19"/>
    <mergeCell ref="DO18:DP19"/>
    <mergeCell ref="EE20:EF20"/>
    <mergeCell ref="EH20:EI20"/>
    <mergeCell ref="EJ20:EK20"/>
    <mergeCell ref="EL20:EM20"/>
    <mergeCell ref="EN20:EO20"/>
    <mergeCell ref="EP20:EQ20"/>
    <mergeCell ref="DS20:DT20"/>
    <mergeCell ref="DU20:DV20"/>
    <mergeCell ref="DW20:DX20"/>
    <mergeCell ref="DY20:DZ20"/>
    <mergeCell ref="EA20:EB20"/>
    <mergeCell ref="EC20:ED20"/>
    <mergeCell ref="AO24:AO25"/>
    <mergeCell ref="A24:A25"/>
    <mergeCell ref="B24:C25"/>
    <mergeCell ref="D24:E25"/>
    <mergeCell ref="F24:G25"/>
    <mergeCell ref="H24:J25"/>
    <mergeCell ref="W24:Y25"/>
    <mergeCell ref="Z24:Z25"/>
    <mergeCell ref="AA24:AA25"/>
    <mergeCell ref="AB24:AB25"/>
    <mergeCell ref="AE24:AG25"/>
    <mergeCell ref="AH24:AI25"/>
    <mergeCell ref="AJ24:AK24"/>
    <mergeCell ref="AL24:AL25"/>
    <mergeCell ref="AM24:AM25"/>
    <mergeCell ref="AN24:AN25"/>
    <mergeCell ref="AC24:AC25"/>
    <mergeCell ref="AD24:AD25"/>
    <mergeCell ref="K24:L25"/>
    <mergeCell ref="M24:N25"/>
    <mergeCell ref="O24:P25"/>
    <mergeCell ref="Q24:R25"/>
    <mergeCell ref="S24:U24"/>
    <mergeCell ref="V24:V25"/>
    <mergeCell ref="AW24:AW25"/>
    <mergeCell ref="AX24:AY25"/>
    <mergeCell ref="AZ24:AZ25"/>
    <mergeCell ref="BA24:BA25"/>
    <mergeCell ref="BB24:BD24"/>
    <mergeCell ref="BE24:BE25"/>
    <mergeCell ref="AP24:AP25"/>
    <mergeCell ref="AQ24:AR25"/>
    <mergeCell ref="AS24:AS25"/>
    <mergeCell ref="AT24:AT25"/>
    <mergeCell ref="AU24:AV25"/>
    <mergeCell ref="CB24:CC25"/>
    <mergeCell ref="CD24:CF25"/>
    <mergeCell ref="CG24:CI25"/>
    <mergeCell ref="CJ24:CL25"/>
    <mergeCell ref="CM24:CN25"/>
    <mergeCell ref="CO24:CP25"/>
    <mergeCell ref="CU24:CV25"/>
    <mergeCell ref="BF24:BF25"/>
    <mergeCell ref="BG24:BG25"/>
    <mergeCell ref="BH24:BH25"/>
    <mergeCell ref="BI24:BM24"/>
    <mergeCell ref="BN24:BX24"/>
    <mergeCell ref="BY24:CA25"/>
    <mergeCell ref="DG24:DI25"/>
    <mergeCell ref="DJ24:DK25"/>
    <mergeCell ref="DL24:DM25"/>
    <mergeCell ref="DN24:DO25"/>
    <mergeCell ref="DP24:DQ25"/>
    <mergeCell ref="DR24:DS25"/>
    <mergeCell ref="CQ24:CR25"/>
    <mergeCell ref="CS24:CT25"/>
    <mergeCell ref="CW24:CX25"/>
    <mergeCell ref="CY24:DA25"/>
    <mergeCell ref="DB24:DD25"/>
    <mergeCell ref="DE24:DF25"/>
    <mergeCell ref="EL24:EM25"/>
    <mergeCell ref="EN24:EP25"/>
    <mergeCell ref="EQ24:ES25"/>
    <mergeCell ref="DT24:DU25"/>
    <mergeCell ref="DV24:DW25"/>
    <mergeCell ref="DX24:DY25"/>
    <mergeCell ref="DZ24:EA25"/>
    <mergeCell ref="EB24:EC25"/>
    <mergeCell ref="ED24:EE25"/>
    <mergeCell ref="B26:C26"/>
    <mergeCell ref="D26:E26"/>
    <mergeCell ref="F26:G26"/>
    <mergeCell ref="H26:J26"/>
    <mergeCell ref="K26:L26"/>
    <mergeCell ref="M26:N26"/>
    <mergeCell ref="FM24:FO25"/>
    <mergeCell ref="FP24:FR25"/>
    <mergeCell ref="FS24:FU25"/>
    <mergeCell ref="BI25:BJ25"/>
    <mergeCell ref="BL25:BM25"/>
    <mergeCell ref="BN25:BO25"/>
    <mergeCell ref="BR25:BS25"/>
    <mergeCell ref="BT25:BV25"/>
    <mergeCell ref="BW25:BX25"/>
    <mergeCell ref="ET24:EV25"/>
    <mergeCell ref="EW24:EY25"/>
    <mergeCell ref="EZ24:FB25"/>
    <mergeCell ref="FC24:FE25"/>
    <mergeCell ref="FF24:FI25"/>
    <mergeCell ref="FJ24:FL25"/>
    <mergeCell ref="EF24:EG25"/>
    <mergeCell ref="EH24:EI25"/>
    <mergeCell ref="EJ24:EK25"/>
    <mergeCell ref="AU26:AV26"/>
    <mergeCell ref="AX26:AY26"/>
    <mergeCell ref="BI26:BJ26"/>
    <mergeCell ref="BL26:BM26"/>
    <mergeCell ref="BN26:BO26"/>
    <mergeCell ref="BR26:BS26"/>
    <mergeCell ref="O26:P26"/>
    <mergeCell ref="Q26:R26"/>
    <mergeCell ref="X26:Y26"/>
    <mergeCell ref="AE26:AF26"/>
    <mergeCell ref="AH26:AI26"/>
    <mergeCell ref="AQ26:AR26"/>
    <mergeCell ref="CJ26:CL26"/>
    <mergeCell ref="CM26:CN26"/>
    <mergeCell ref="CO26:CP26"/>
    <mergeCell ref="CQ26:CR26"/>
    <mergeCell ref="CS26:CT26"/>
    <mergeCell ref="CW26:CX26"/>
    <mergeCell ref="CU26:CV26"/>
    <mergeCell ref="BT26:BV26"/>
    <mergeCell ref="BW26:BX26"/>
    <mergeCell ref="BY26:CA26"/>
    <mergeCell ref="CB26:CC26"/>
    <mergeCell ref="CD26:CF26"/>
    <mergeCell ref="CG26:CI26"/>
    <mergeCell ref="FM26:FO26"/>
    <mergeCell ref="FP26:FR26"/>
    <mergeCell ref="FS26:FU26"/>
    <mergeCell ref="EL26:EM26"/>
    <mergeCell ref="EN26:EP26"/>
    <mergeCell ref="EQ26:ES26"/>
    <mergeCell ref="ET26:EV26"/>
    <mergeCell ref="EW26:EY26"/>
    <mergeCell ref="EZ26:FB26"/>
    <mergeCell ref="DN26:DO26"/>
    <mergeCell ref="DP26:DQ26"/>
    <mergeCell ref="DR26:DS26"/>
    <mergeCell ref="DT26:DU26"/>
    <mergeCell ref="DV26:DW26"/>
    <mergeCell ref="DX26:DY26"/>
    <mergeCell ref="CY26:DA26"/>
    <mergeCell ref="DB26:DD26"/>
    <mergeCell ref="DE26:DF26"/>
    <mergeCell ref="DG26:DI26"/>
    <mergeCell ref="DJ26:DK26"/>
    <mergeCell ref="DL26:DM26"/>
    <mergeCell ref="FC26:FE26"/>
    <mergeCell ref="FF26:FI26"/>
    <mergeCell ref="FJ26:FL26"/>
    <mergeCell ref="DZ26:EA26"/>
    <mergeCell ref="EB26:EC26"/>
    <mergeCell ref="ED26:EE26"/>
    <mergeCell ref="EF26:EG26"/>
    <mergeCell ref="EH26:EI26"/>
    <mergeCell ref="EJ26:EK26"/>
    <mergeCell ref="X39:Y39"/>
    <mergeCell ref="EX38:FA38"/>
    <mergeCell ref="FB38:IE38"/>
    <mergeCell ref="IF38:IO38"/>
    <mergeCell ref="AO39:AP39"/>
    <mergeCell ref="AQ39:AR39"/>
    <mergeCell ref="AQ27:AR27"/>
    <mergeCell ref="AX27:AY27"/>
    <mergeCell ref="DL27:DM27"/>
    <mergeCell ref="DV27:DW27"/>
    <mergeCell ref="EF27:EG27"/>
    <mergeCell ref="AX28:AY28"/>
    <mergeCell ref="Z39:AA39"/>
    <mergeCell ref="AB39:AC39"/>
    <mergeCell ref="AD39:AE39"/>
    <mergeCell ref="AF39:AH39"/>
    <mergeCell ref="AI39:AK39"/>
    <mergeCell ref="AL39:AN39"/>
    <mergeCell ref="IP38:JE38"/>
    <mergeCell ref="A39:B39"/>
    <mergeCell ref="C39:D39"/>
    <mergeCell ref="E39:F39"/>
    <mergeCell ref="G39:H39"/>
    <mergeCell ref="I39:J39"/>
    <mergeCell ref="K39:L39"/>
    <mergeCell ref="A38:AN38"/>
    <mergeCell ref="AO38:CE38"/>
    <mergeCell ref="CF38:CQ38"/>
    <mergeCell ref="DP38:DS38"/>
    <mergeCell ref="DT38:EG38"/>
    <mergeCell ref="EH38:EW38"/>
    <mergeCell ref="M39:N39"/>
    <mergeCell ref="O39:P39"/>
    <mergeCell ref="Q39:R39"/>
    <mergeCell ref="S39:U39"/>
    <mergeCell ref="V39:W39"/>
    <mergeCell ref="BA39:BB39"/>
    <mergeCell ref="BC39:BD39"/>
    <mergeCell ref="BE39:BF39"/>
    <mergeCell ref="BG39:BI39"/>
    <mergeCell ref="BJ39:BL39"/>
    <mergeCell ref="BM39:BO39"/>
    <mergeCell ref="AS39:AT39"/>
    <mergeCell ref="AU39:AV39"/>
    <mergeCell ref="AW39:AX39"/>
    <mergeCell ref="AY39:AZ39"/>
    <mergeCell ref="CB39:CC39"/>
    <mergeCell ref="CD39:CE39"/>
    <mergeCell ref="CH39:CI39"/>
    <mergeCell ref="CL39:CM39"/>
    <mergeCell ref="CN39:CO39"/>
    <mergeCell ref="CP39:CQ39"/>
    <mergeCell ref="BP39:BQ39"/>
    <mergeCell ref="BR39:BS39"/>
    <mergeCell ref="BT39:BU39"/>
    <mergeCell ref="BV39:BW39"/>
    <mergeCell ref="BX39:BY39"/>
    <mergeCell ref="BZ39:CA39"/>
    <mergeCell ref="DP39:DQ39"/>
    <mergeCell ref="DR39:DS39"/>
    <mergeCell ref="DV39:DW39"/>
    <mergeCell ref="DZ39:EA39"/>
    <mergeCell ref="EB39:EC39"/>
    <mergeCell ref="ED39:EE39"/>
    <mergeCell ref="DN39:DO39"/>
    <mergeCell ref="CR39:CS39"/>
    <mergeCell ref="CV39:CW39"/>
    <mergeCell ref="CZ39:DA39"/>
    <mergeCell ref="DB39:DC39"/>
    <mergeCell ref="DF39:DG39"/>
    <mergeCell ref="DH39:DI39"/>
    <mergeCell ref="EV39:EW39"/>
    <mergeCell ref="EX39:EY39"/>
    <mergeCell ref="EZ39:FA39"/>
    <mergeCell ref="FB39:FC39"/>
    <mergeCell ref="FD39:FF39"/>
    <mergeCell ref="FG39:FI39"/>
    <mergeCell ref="EF39:EG39"/>
    <mergeCell ref="EJ39:EK39"/>
    <mergeCell ref="EN39:EO39"/>
    <mergeCell ref="EP39:EQ39"/>
    <mergeCell ref="ER39:ES39"/>
    <mergeCell ref="ET39:EU39"/>
    <mergeCell ref="A40:B40"/>
    <mergeCell ref="C40:D40"/>
    <mergeCell ref="E40:F40"/>
    <mergeCell ref="G40:H40"/>
    <mergeCell ref="I40:J40"/>
    <mergeCell ref="K40:L40"/>
    <mergeCell ref="IL39:IM39"/>
    <mergeCell ref="IN39:IO39"/>
    <mergeCell ref="IP39:IQ39"/>
    <mergeCell ref="HW39:HY39"/>
    <mergeCell ref="HZ39:IB39"/>
    <mergeCell ref="IC39:IE39"/>
    <mergeCell ref="IF39:IG39"/>
    <mergeCell ref="IH39:II39"/>
    <mergeCell ref="IJ39:IK39"/>
    <mergeCell ref="HG39:HI39"/>
    <mergeCell ref="HJ39:HL39"/>
    <mergeCell ref="HM39:HO39"/>
    <mergeCell ref="HP39:HR39"/>
    <mergeCell ref="HS39:HT39"/>
    <mergeCell ref="FP39:FR39"/>
    <mergeCell ref="FS39:FU39"/>
    <mergeCell ref="FV39:FW39"/>
    <mergeCell ref="FX39:FZ39"/>
    <mergeCell ref="GA39:GC39"/>
    <mergeCell ref="GD39:GF39"/>
    <mergeCell ref="GG39:GI39"/>
    <mergeCell ref="GJ39:GL39"/>
    <mergeCell ref="GM39:GN39"/>
    <mergeCell ref="GO39:GP39"/>
    <mergeCell ref="FJ39:FL39"/>
    <mergeCell ref="FM39:FO39"/>
    <mergeCell ref="JD39:JE39"/>
    <mergeCell ref="IR39:IS39"/>
    <mergeCell ref="IT39:IU39"/>
    <mergeCell ref="IV39:IW39"/>
    <mergeCell ref="IX39:IY39"/>
    <mergeCell ref="IZ39:JA39"/>
    <mergeCell ref="JB39:JC39"/>
    <mergeCell ref="HU39:HV39"/>
    <mergeCell ref="GQ39:GS39"/>
    <mergeCell ref="GT39:GV39"/>
    <mergeCell ref="GW39:GY39"/>
    <mergeCell ref="GZ39:HB39"/>
    <mergeCell ref="HC39:HD39"/>
    <mergeCell ref="HE39:HF39"/>
    <mergeCell ref="Z40:AA40"/>
    <mergeCell ref="AB40:AC40"/>
    <mergeCell ref="AD40:AE40"/>
    <mergeCell ref="AF40:AH40"/>
    <mergeCell ref="AI40:AK40"/>
    <mergeCell ref="AL40:AN40"/>
    <mergeCell ref="M40:N40"/>
    <mergeCell ref="O40:P40"/>
    <mergeCell ref="Q40:R40"/>
    <mergeCell ref="S40:U40"/>
    <mergeCell ref="V40:W40"/>
    <mergeCell ref="X40:Y40"/>
    <mergeCell ref="BA40:BB40"/>
    <mergeCell ref="BC40:BD40"/>
    <mergeCell ref="BE40:BF40"/>
    <mergeCell ref="BG40:BI40"/>
    <mergeCell ref="BJ40:BL40"/>
    <mergeCell ref="BM40:BO40"/>
    <mergeCell ref="AO40:AP40"/>
    <mergeCell ref="AQ40:AR40"/>
    <mergeCell ref="AS40:AT40"/>
    <mergeCell ref="AU40:AV40"/>
    <mergeCell ref="AW40:AX40"/>
    <mergeCell ref="AY40:AZ40"/>
    <mergeCell ref="CB40:CC40"/>
    <mergeCell ref="CD40:CE40"/>
    <mergeCell ref="CH40:CI40"/>
    <mergeCell ref="CL40:CM40"/>
    <mergeCell ref="CN40:CO40"/>
    <mergeCell ref="CP40:CQ40"/>
    <mergeCell ref="BP40:BQ40"/>
    <mergeCell ref="BR40:BS40"/>
    <mergeCell ref="BT40:BU40"/>
    <mergeCell ref="BV40:BW40"/>
    <mergeCell ref="BX40:BY40"/>
    <mergeCell ref="BZ40:CA40"/>
    <mergeCell ref="DP40:DQ40"/>
    <mergeCell ref="DR40:DS40"/>
    <mergeCell ref="DV40:DW40"/>
    <mergeCell ref="DZ40:EA40"/>
    <mergeCell ref="EB40:EC40"/>
    <mergeCell ref="ED40:EE40"/>
    <mergeCell ref="DN40:DO40"/>
    <mergeCell ref="CR40:CS40"/>
    <mergeCell ref="CV40:CW40"/>
    <mergeCell ref="CZ40:DA40"/>
    <mergeCell ref="DB40:DC40"/>
    <mergeCell ref="DF40:DG40"/>
    <mergeCell ref="DH40:DI40"/>
    <mergeCell ref="EZ40:FA40"/>
    <mergeCell ref="FB40:FC40"/>
    <mergeCell ref="FD40:FF40"/>
    <mergeCell ref="FG40:FI40"/>
    <mergeCell ref="EF40:EG40"/>
    <mergeCell ref="EJ40:EK40"/>
    <mergeCell ref="EN40:EO40"/>
    <mergeCell ref="EP40:EQ40"/>
    <mergeCell ref="ER40:ES40"/>
    <mergeCell ref="ET40:EU40"/>
    <mergeCell ref="HZ40:IB40"/>
    <mergeCell ref="IC40:IE40"/>
    <mergeCell ref="IF40:IG40"/>
    <mergeCell ref="IH40:II40"/>
    <mergeCell ref="IJ40:IK40"/>
    <mergeCell ref="HG40:HI40"/>
    <mergeCell ref="HJ40:HL40"/>
    <mergeCell ref="HM40:HO40"/>
    <mergeCell ref="HP40:HR40"/>
    <mergeCell ref="HS40:HT40"/>
    <mergeCell ref="HU40:HV40"/>
    <mergeCell ref="HW40:HY40"/>
    <mergeCell ref="F50:H50"/>
    <mergeCell ref="O50:Q50"/>
    <mergeCell ref="AA50:AC50"/>
    <mergeCell ref="AK50:AM50"/>
    <mergeCell ref="EN41:EO41"/>
    <mergeCell ref="EP41:EQ41"/>
    <mergeCell ref="ET41:EU41"/>
    <mergeCell ref="EX41:FA42"/>
    <mergeCell ref="BJ42:BL42"/>
    <mergeCell ref="BV42:BW42"/>
    <mergeCell ref="CB42:CC42"/>
    <mergeCell ref="DP41:DS42"/>
    <mergeCell ref="DZ41:EA41"/>
    <mergeCell ref="CL41:CM41"/>
    <mergeCell ref="CZ41:DA41"/>
    <mergeCell ref="DB41:DC41"/>
    <mergeCell ref="DH41:DI41"/>
    <mergeCell ref="BE41:BF41"/>
    <mergeCell ref="BJ41:BL41"/>
    <mergeCell ref="BT41:BU41"/>
    <mergeCell ref="BV41:BW41"/>
    <mergeCell ref="BZ41:CA41"/>
    <mergeCell ref="CB41:CC41"/>
    <mergeCell ref="A51:K51"/>
    <mergeCell ref="L51:U51"/>
    <mergeCell ref="V51:AF51"/>
    <mergeCell ref="AG51:AP51"/>
    <mergeCell ref="A52:A53"/>
    <mergeCell ref="B52:B53"/>
    <mergeCell ref="C52:C53"/>
    <mergeCell ref="D52:E53"/>
    <mergeCell ref="F52:H53"/>
    <mergeCell ref="I52:K53"/>
    <mergeCell ref="D54:E54"/>
    <mergeCell ref="G54:H54"/>
    <mergeCell ref="J54:K54"/>
    <mergeCell ref="P54:Q54"/>
    <mergeCell ref="S54:U54"/>
    <mergeCell ref="Y54:Z54"/>
    <mergeCell ref="W52:W53"/>
    <mergeCell ref="X52:X53"/>
    <mergeCell ref="Y52:Z53"/>
    <mergeCell ref="L52:L53"/>
    <mergeCell ref="M52:M53"/>
    <mergeCell ref="N52:N53"/>
    <mergeCell ref="O52:Q53"/>
    <mergeCell ref="R52:U53"/>
    <mergeCell ref="V52:V53"/>
    <mergeCell ref="HE40:HF40"/>
    <mergeCell ref="GA40:GC40"/>
    <mergeCell ref="GD40:GF40"/>
    <mergeCell ref="GG40:GI40"/>
    <mergeCell ref="GJ40:GL40"/>
    <mergeCell ref="GM40:GN40"/>
    <mergeCell ref="AB54:AC54"/>
    <mergeCell ref="AE54:AF54"/>
    <mergeCell ref="AG54:AH54"/>
    <mergeCell ref="AL54:AM54"/>
    <mergeCell ref="AO54:AP54"/>
    <mergeCell ref="AK52:AM53"/>
    <mergeCell ref="AN52:AP53"/>
    <mergeCell ref="AA52:AC53"/>
    <mergeCell ref="AD52:AF53"/>
    <mergeCell ref="GO40:GP40"/>
    <mergeCell ref="FJ40:FL40"/>
    <mergeCell ref="FM40:FO40"/>
    <mergeCell ref="FP40:FR40"/>
    <mergeCell ref="FS40:FU40"/>
    <mergeCell ref="FV40:FW40"/>
    <mergeCell ref="FX40:FZ40"/>
    <mergeCell ref="EV40:EW40"/>
    <mergeCell ref="EX40:EY40"/>
    <mergeCell ref="DJ41:DK41"/>
    <mergeCell ref="DL39:DM39"/>
    <mergeCell ref="DL40:DM40"/>
    <mergeCell ref="CZ42:DA42"/>
    <mergeCell ref="DB42:DC42"/>
    <mergeCell ref="DD39:DE39"/>
    <mergeCell ref="DD40:DE40"/>
    <mergeCell ref="DD41:DE41"/>
    <mergeCell ref="DD42:DE42"/>
    <mergeCell ref="F6:H6"/>
    <mergeCell ref="A7:E7"/>
    <mergeCell ref="F7:H7"/>
    <mergeCell ref="BA2:CH2"/>
    <mergeCell ref="BY23:FU23"/>
    <mergeCell ref="CT38:DO38"/>
    <mergeCell ref="FB37:JE37"/>
    <mergeCell ref="DJ39:DK39"/>
    <mergeCell ref="DJ40:DK40"/>
    <mergeCell ref="IX40:IY40"/>
    <mergeCell ref="IZ40:JA40"/>
    <mergeCell ref="JB40:JC40"/>
    <mergeCell ref="JD40:JE40"/>
    <mergeCell ref="IL40:IM40"/>
    <mergeCell ref="IN40:IO40"/>
    <mergeCell ref="IP40:IQ40"/>
    <mergeCell ref="IR40:IS40"/>
    <mergeCell ref="IT40:IU40"/>
    <mergeCell ref="IV40:IW40"/>
    <mergeCell ref="GQ40:GS40"/>
    <mergeCell ref="GT40:GV40"/>
    <mergeCell ref="GW40:GY40"/>
    <mergeCell ref="GZ40:HB40"/>
    <mergeCell ref="HC40:HD4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JV60"/>
  <sheetViews>
    <sheetView zoomScaleNormal="100" workbookViewId="0">
      <selection activeCell="I4" sqref="I4"/>
    </sheetView>
  </sheetViews>
  <sheetFormatPr defaultRowHeight="15"/>
  <cols>
    <col min="11" max="11" width="9.140625" customWidth="1"/>
    <col min="18" max="18" width="9.140625" customWidth="1"/>
    <col min="20" max="20" width="1.7109375" customWidth="1"/>
    <col min="26" max="28" width="9.140625" customWidth="1"/>
    <col min="33" max="33" width="2.7109375" customWidth="1"/>
    <col min="45" max="49" width="9.140625" customWidth="1"/>
    <col min="54" max="56" width="9.140625" customWidth="1"/>
    <col min="60" max="60" width="9.140625" customWidth="1"/>
    <col min="111" max="111" width="9.140625" customWidth="1"/>
  </cols>
  <sheetData>
    <row r="2" spans="1:208" ht="23.25">
      <c r="O2" s="2"/>
      <c r="P2" s="2"/>
      <c r="Z2" s="2"/>
      <c r="AA2" s="2"/>
      <c r="AB2" s="2"/>
      <c r="BA2" s="137" t="s">
        <v>333</v>
      </c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</row>
    <row r="4" spans="1:208" ht="19.5">
      <c r="A4" s="436" t="s">
        <v>0</v>
      </c>
      <c r="B4" s="436"/>
      <c r="C4" s="436"/>
      <c r="D4" s="1"/>
      <c r="E4" s="1"/>
      <c r="O4" s="1"/>
    </row>
    <row r="5" spans="1:208" ht="20.25" thickBot="1">
      <c r="K5" s="436" t="s">
        <v>5</v>
      </c>
      <c r="L5" s="436"/>
      <c r="V5" s="436" t="s">
        <v>6</v>
      </c>
      <c r="W5" s="436"/>
      <c r="AI5" s="436" t="s">
        <v>25</v>
      </c>
      <c r="AJ5" s="436"/>
      <c r="AZ5" s="436" t="s">
        <v>36</v>
      </c>
      <c r="BA5" s="436"/>
      <c r="BN5" s="436" t="s">
        <v>162</v>
      </c>
      <c r="BO5" s="436"/>
      <c r="BY5" s="436" t="s">
        <v>5</v>
      </c>
      <c r="BZ5" s="436"/>
      <c r="CI5" s="437" t="s">
        <v>163</v>
      </c>
      <c r="CJ5" s="437"/>
      <c r="CK5" s="437"/>
      <c r="CL5" s="437"/>
      <c r="DA5" s="436" t="s">
        <v>155</v>
      </c>
      <c r="DB5" s="436"/>
      <c r="DC5" s="436"/>
      <c r="DD5" s="436"/>
      <c r="DE5" s="436"/>
      <c r="DF5" s="436"/>
      <c r="DI5" s="436" t="s">
        <v>148</v>
      </c>
      <c r="DJ5" s="436"/>
      <c r="DK5" s="436"/>
      <c r="DL5" s="436"/>
      <c r="DM5" s="436"/>
      <c r="DN5" s="436"/>
      <c r="DO5" s="436"/>
      <c r="DP5" s="436"/>
      <c r="DQ5" s="436"/>
      <c r="DR5" s="436"/>
      <c r="DS5" s="436"/>
      <c r="DT5" s="436"/>
      <c r="DU5" s="436"/>
      <c r="DV5" s="436"/>
      <c r="DW5" s="436"/>
      <c r="DX5" s="436"/>
      <c r="DY5" s="436"/>
      <c r="EU5" s="436" t="s">
        <v>5</v>
      </c>
      <c r="EV5" s="436"/>
      <c r="FF5" s="436" t="s">
        <v>164</v>
      </c>
      <c r="FG5" s="436"/>
      <c r="FS5" s="436" t="s">
        <v>228</v>
      </c>
      <c r="FT5" s="436"/>
      <c r="GI5" s="436" t="s">
        <v>229</v>
      </c>
      <c r="GJ5" s="436"/>
      <c r="GY5" s="436" t="s">
        <v>230</v>
      </c>
      <c r="GZ5" s="436"/>
    </row>
    <row r="6" spans="1:208" ht="16.5" thickBot="1">
      <c r="A6" s="438" t="s">
        <v>329</v>
      </c>
      <c r="B6" s="439"/>
      <c r="C6" s="439"/>
      <c r="D6" s="439"/>
      <c r="E6" s="439"/>
      <c r="F6" s="129" t="s">
        <v>330</v>
      </c>
      <c r="G6" s="130"/>
      <c r="H6" s="131"/>
      <c r="DI6" s="403" t="s">
        <v>127</v>
      </c>
      <c r="DJ6" s="404"/>
      <c r="DK6" s="404"/>
      <c r="DL6" s="404" t="s">
        <v>139</v>
      </c>
      <c r="DM6" s="404"/>
      <c r="DN6" s="404"/>
      <c r="DO6" s="395" t="s">
        <v>140</v>
      </c>
      <c r="DP6" s="395"/>
      <c r="DQ6" s="395" t="s">
        <v>124</v>
      </c>
      <c r="DR6" s="395"/>
      <c r="DS6" s="395" t="s">
        <v>125</v>
      </c>
      <c r="DT6" s="395"/>
      <c r="DU6" s="395" t="s">
        <v>126</v>
      </c>
      <c r="DV6" s="395"/>
      <c r="DW6" s="395" t="s">
        <v>151</v>
      </c>
      <c r="DX6" s="395"/>
      <c r="DY6" s="395" t="s">
        <v>152</v>
      </c>
      <c r="DZ6" s="395"/>
      <c r="EA6" s="395" t="s">
        <v>92</v>
      </c>
      <c r="EB6" s="395"/>
      <c r="EC6" s="395" t="s">
        <v>93</v>
      </c>
      <c r="ED6" s="396"/>
      <c r="EE6" s="409" t="s">
        <v>97</v>
      </c>
      <c r="EF6" s="411"/>
      <c r="EG6" s="412" t="s">
        <v>72</v>
      </c>
      <c r="EH6" s="395" t="s">
        <v>131</v>
      </c>
      <c r="EI6" s="396"/>
      <c r="EJ6" s="414" t="s">
        <v>142</v>
      </c>
      <c r="EK6" s="408"/>
      <c r="EL6" s="409" t="s">
        <v>141</v>
      </c>
      <c r="EM6" s="411"/>
      <c r="EN6" s="407" t="s">
        <v>145</v>
      </c>
      <c r="EO6" s="408"/>
      <c r="EP6" s="409" t="s">
        <v>130</v>
      </c>
      <c r="EQ6" s="410"/>
    </row>
    <row r="7" spans="1:208" ht="16.5" thickBot="1">
      <c r="A7" s="132" t="s">
        <v>4</v>
      </c>
      <c r="B7" s="133"/>
      <c r="C7" s="133"/>
      <c r="D7" s="133"/>
      <c r="E7" s="133"/>
      <c r="F7" s="134" t="s">
        <v>331</v>
      </c>
      <c r="G7" s="135"/>
      <c r="H7" s="136"/>
      <c r="DA7" s="415" t="s">
        <v>137</v>
      </c>
      <c r="DB7" s="416"/>
      <c r="DC7" s="416"/>
      <c r="DD7" s="416"/>
      <c r="DE7" s="417"/>
      <c r="DI7" s="405"/>
      <c r="DJ7" s="406"/>
      <c r="DK7" s="406"/>
      <c r="DL7" s="406"/>
      <c r="DM7" s="406"/>
      <c r="DN7" s="406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8"/>
      <c r="EE7" s="153"/>
      <c r="EF7" s="344"/>
      <c r="EG7" s="413"/>
      <c r="EH7" s="397"/>
      <c r="EI7" s="398"/>
      <c r="EJ7" s="153"/>
      <c r="EK7" s="154"/>
      <c r="EL7" s="153"/>
      <c r="EM7" s="344"/>
      <c r="EN7" s="154"/>
      <c r="EO7" s="154"/>
      <c r="EP7" s="153"/>
      <c r="EQ7" s="155"/>
    </row>
    <row r="8" spans="1:208" ht="19.5" thickTop="1" thickBot="1">
      <c r="A8" s="441" t="s">
        <v>21</v>
      </c>
      <c r="B8" s="442"/>
      <c r="C8" s="442"/>
      <c r="D8" s="442"/>
      <c r="E8" s="442"/>
      <c r="F8" s="442"/>
      <c r="G8" s="442"/>
      <c r="H8" s="443"/>
      <c r="DA8" s="39" t="s">
        <v>134</v>
      </c>
      <c r="DB8" s="401" t="s">
        <v>135</v>
      </c>
      <c r="DC8" s="401"/>
      <c r="DD8" s="401" t="s">
        <v>136</v>
      </c>
      <c r="DE8" s="402"/>
      <c r="DI8" s="393"/>
      <c r="DJ8" s="394"/>
      <c r="DK8" s="381"/>
      <c r="DL8" s="380"/>
      <c r="DM8" s="394"/>
      <c r="DN8" s="381"/>
      <c r="DO8" s="380"/>
      <c r="DP8" s="381"/>
      <c r="DQ8" s="380"/>
      <c r="DR8" s="381"/>
      <c r="DS8" s="380"/>
      <c r="DT8" s="381"/>
      <c r="DU8" s="380"/>
      <c r="DV8" s="381"/>
      <c r="DW8" s="380"/>
      <c r="DX8" s="381"/>
      <c r="DY8" s="380"/>
      <c r="DZ8" s="381"/>
      <c r="EA8" s="382"/>
      <c r="EB8" s="383"/>
      <c r="EC8" s="382"/>
      <c r="ED8" s="384"/>
      <c r="EE8" s="310"/>
      <c r="EF8" s="311"/>
      <c r="EG8" s="38"/>
      <c r="EH8" s="330">
        <f>IF(EA8=EC8,EA8*EE8*EG8,(((EA8+EC8)/2)*EE8)*EG8)</f>
        <v>0</v>
      </c>
      <c r="EI8" s="378"/>
      <c r="EJ8" s="226">
        <f>MAX(DI8+DL8,DO8)+DQ8+DS8+DU8</f>
        <v>0</v>
      </c>
      <c r="EK8" s="142"/>
      <c r="EL8" s="231"/>
      <c r="EM8" s="232"/>
      <c r="EN8" s="226">
        <f>EJ8*EL8</f>
        <v>0</v>
      </c>
      <c r="EO8" s="142"/>
      <c r="EP8" s="379" t="str">
        <f>IF(EH8&gt;EN8,"Verifica","Não verifica")</f>
        <v>Não verifica</v>
      </c>
      <c r="EQ8" s="146"/>
    </row>
    <row r="9" spans="1:208" ht="15.75" thickBot="1">
      <c r="A9" s="430" t="s">
        <v>22</v>
      </c>
      <c r="B9" s="431"/>
      <c r="C9" s="431"/>
      <c r="D9" s="431"/>
      <c r="E9" s="431"/>
      <c r="F9" s="431"/>
      <c r="G9" s="431"/>
      <c r="H9" s="432"/>
      <c r="DA9" s="40"/>
      <c r="DB9" s="385"/>
      <c r="DC9" s="385"/>
      <c r="DD9" s="386">
        <f>IF(DB9=DB10,(ABS(DA10-DA9)*DB9),IF(DB9&gt;DB10,(ABS(DA10-DA9)*DB10),IF(DB9&lt;DB10,(ABS(DA10-DA9)*DB9))))</f>
        <v>0</v>
      </c>
      <c r="DE9" s="387"/>
    </row>
    <row r="10" spans="1:208" ht="15.75" thickBot="1">
      <c r="A10" s="433"/>
      <c r="B10" s="434"/>
      <c r="C10" s="434"/>
      <c r="D10" s="434"/>
      <c r="E10" s="434"/>
      <c r="F10" s="434"/>
      <c r="G10" s="434"/>
      <c r="H10" s="435"/>
      <c r="DA10" s="37"/>
      <c r="DB10" s="392"/>
      <c r="DC10" s="392"/>
      <c r="DD10" s="388"/>
      <c r="DE10" s="389"/>
      <c r="DI10" s="403" t="s">
        <v>127</v>
      </c>
      <c r="DJ10" s="404"/>
      <c r="DK10" s="404"/>
      <c r="DL10" s="404" t="s">
        <v>128</v>
      </c>
      <c r="DM10" s="404"/>
      <c r="DN10" s="404"/>
      <c r="DO10" s="395" t="s">
        <v>129</v>
      </c>
      <c r="DP10" s="395"/>
      <c r="DQ10" s="395" t="s">
        <v>124</v>
      </c>
      <c r="DR10" s="395"/>
      <c r="DS10" s="395" t="s">
        <v>125</v>
      </c>
      <c r="DT10" s="395"/>
      <c r="DU10" s="395" t="s">
        <v>126</v>
      </c>
      <c r="DV10" s="395"/>
      <c r="DW10" s="395" t="s">
        <v>151</v>
      </c>
      <c r="DX10" s="395"/>
      <c r="DY10" s="395" t="s">
        <v>152</v>
      </c>
      <c r="DZ10" s="395"/>
      <c r="EA10" s="395" t="s">
        <v>101</v>
      </c>
      <c r="EB10" s="395"/>
      <c r="EC10" s="395" t="s">
        <v>102</v>
      </c>
      <c r="ED10" s="396"/>
      <c r="EE10" s="409" t="s">
        <v>99</v>
      </c>
      <c r="EF10" s="411"/>
      <c r="EG10" s="412" t="s">
        <v>72</v>
      </c>
      <c r="EH10" s="395" t="s">
        <v>133</v>
      </c>
      <c r="EI10" s="396"/>
      <c r="EJ10" s="414" t="s">
        <v>143</v>
      </c>
      <c r="EK10" s="408"/>
      <c r="EL10" s="409" t="s">
        <v>141</v>
      </c>
      <c r="EM10" s="411"/>
      <c r="EN10" s="407" t="s">
        <v>146</v>
      </c>
      <c r="EO10" s="408"/>
      <c r="EP10" s="409" t="s">
        <v>130</v>
      </c>
      <c r="EQ10" s="410"/>
    </row>
    <row r="11" spans="1:208" ht="15.75" thickBot="1">
      <c r="A11" s="430" t="s">
        <v>23</v>
      </c>
      <c r="B11" s="431"/>
      <c r="C11" s="431"/>
      <c r="D11" s="431"/>
      <c r="E11" s="431"/>
      <c r="F11" s="431"/>
      <c r="G11" s="431"/>
      <c r="H11" s="432"/>
      <c r="DI11" s="405"/>
      <c r="DJ11" s="406"/>
      <c r="DK11" s="406"/>
      <c r="DL11" s="406"/>
      <c r="DM11" s="406"/>
      <c r="DN11" s="406"/>
      <c r="DO11" s="397"/>
      <c r="DP11" s="397"/>
      <c r="DQ11" s="397"/>
      <c r="DR11" s="397"/>
      <c r="DS11" s="397"/>
      <c r="DT11" s="397"/>
      <c r="DU11" s="397"/>
      <c r="DV11" s="397"/>
      <c r="DW11" s="397"/>
      <c r="DX11" s="397"/>
      <c r="DY11" s="397"/>
      <c r="DZ11" s="397"/>
      <c r="EA11" s="397"/>
      <c r="EB11" s="397"/>
      <c r="EC11" s="397"/>
      <c r="ED11" s="398"/>
      <c r="EE11" s="153"/>
      <c r="EF11" s="344"/>
      <c r="EG11" s="413"/>
      <c r="EH11" s="397"/>
      <c r="EI11" s="398"/>
      <c r="EJ11" s="153"/>
      <c r="EK11" s="154"/>
      <c r="EL11" s="153"/>
      <c r="EM11" s="344"/>
      <c r="EN11" s="154"/>
      <c r="EO11" s="154"/>
      <c r="EP11" s="153"/>
      <c r="EQ11" s="155"/>
    </row>
    <row r="12" spans="1:208" ht="19.5" thickBot="1">
      <c r="A12" s="433"/>
      <c r="B12" s="434"/>
      <c r="C12" s="434"/>
      <c r="D12" s="434"/>
      <c r="E12" s="434"/>
      <c r="F12" s="434"/>
      <c r="G12" s="434"/>
      <c r="H12" s="435"/>
      <c r="AV12" s="459" t="s">
        <v>261</v>
      </c>
      <c r="AW12" s="459"/>
      <c r="AX12" s="459"/>
      <c r="AY12" s="459"/>
      <c r="AZ12" s="459"/>
      <c r="BC12" s="460" t="s">
        <v>54</v>
      </c>
      <c r="BD12" s="460"/>
      <c r="BE12" s="460"/>
      <c r="BF12" s="460"/>
      <c r="DA12" s="415" t="s">
        <v>153</v>
      </c>
      <c r="DB12" s="416"/>
      <c r="DC12" s="416"/>
      <c r="DD12" s="416"/>
      <c r="DE12" s="417"/>
      <c r="DI12" s="393"/>
      <c r="DJ12" s="394"/>
      <c r="DK12" s="381"/>
      <c r="DL12" s="380"/>
      <c r="DM12" s="394"/>
      <c r="DN12" s="381"/>
      <c r="DO12" s="380"/>
      <c r="DP12" s="381"/>
      <c r="DQ12" s="380"/>
      <c r="DR12" s="381"/>
      <c r="DS12" s="380"/>
      <c r="DT12" s="381"/>
      <c r="DU12" s="380"/>
      <c r="DV12" s="381"/>
      <c r="DW12" s="380"/>
      <c r="DX12" s="381"/>
      <c r="DY12" s="380"/>
      <c r="DZ12" s="381"/>
      <c r="EA12" s="382"/>
      <c r="EB12" s="383"/>
      <c r="EC12" s="382"/>
      <c r="ED12" s="384"/>
      <c r="EE12" s="310"/>
      <c r="EF12" s="311"/>
      <c r="EG12" s="38"/>
      <c r="EH12" s="330">
        <f>IF(EA12=EC12,EA12*EE12*EG12,(((EA12+EC12)/2)*EE12)*EG12)</f>
        <v>0</v>
      </c>
      <c r="EI12" s="378"/>
      <c r="EJ12" s="226">
        <f>MAX(DI12+DL12,DO12)+DQ12+DS12+DU12</f>
        <v>0</v>
      </c>
      <c r="EK12" s="142"/>
      <c r="EL12" s="231"/>
      <c r="EM12" s="232"/>
      <c r="EN12" s="226">
        <f>EJ12*EL12</f>
        <v>0</v>
      </c>
      <c r="EO12" s="142"/>
      <c r="EP12" s="379" t="str">
        <f>IF(EH12&gt;EN12,"Verifica","Não verifica")</f>
        <v>Não verifica</v>
      </c>
      <c r="EQ12" s="146"/>
    </row>
    <row r="13" spans="1:208" ht="19.5" thickTop="1" thickBot="1">
      <c r="A13" s="433"/>
      <c r="B13" s="434"/>
      <c r="C13" s="434"/>
      <c r="D13" s="434"/>
      <c r="E13" s="434"/>
      <c r="F13" s="434"/>
      <c r="G13" s="434"/>
      <c r="H13" s="435"/>
      <c r="DA13" s="41" t="s">
        <v>134</v>
      </c>
      <c r="DB13" s="420" t="s">
        <v>135</v>
      </c>
      <c r="DC13" s="420"/>
      <c r="DD13" s="420" t="s">
        <v>136</v>
      </c>
      <c r="DE13" s="421"/>
    </row>
    <row r="14" spans="1:208">
      <c r="A14" s="430" t="s">
        <v>328</v>
      </c>
      <c r="B14" s="431"/>
      <c r="C14" s="431"/>
      <c r="D14" s="431"/>
      <c r="E14" s="431"/>
      <c r="F14" s="431"/>
      <c r="G14" s="431"/>
      <c r="H14" s="432"/>
      <c r="AV14" s="447" t="s">
        <v>265</v>
      </c>
      <c r="AW14" s="450" t="s">
        <v>266</v>
      </c>
      <c r="AX14" s="453" t="s">
        <v>262</v>
      </c>
      <c r="AY14" s="450" t="s">
        <v>263</v>
      </c>
      <c r="AZ14" s="456" t="s">
        <v>45</v>
      </c>
      <c r="BC14" s="424" t="s">
        <v>46</v>
      </c>
      <c r="BD14" s="426" t="s">
        <v>55</v>
      </c>
      <c r="BE14" s="427"/>
      <c r="DA14" s="40"/>
      <c r="DB14" s="385"/>
      <c r="DC14" s="385"/>
      <c r="DD14" s="386">
        <f>((ABS(DB14-DB15))*(ABS(DA15-DA14)))/2</f>
        <v>0</v>
      </c>
      <c r="DE14" s="387"/>
      <c r="DI14" s="403" t="s">
        <v>127</v>
      </c>
      <c r="DJ14" s="404"/>
      <c r="DK14" s="404"/>
      <c r="DL14" s="404" t="s">
        <v>128</v>
      </c>
      <c r="DM14" s="404"/>
      <c r="DN14" s="404"/>
      <c r="DO14" s="395" t="s">
        <v>129</v>
      </c>
      <c r="DP14" s="395"/>
      <c r="DQ14" s="395" t="s">
        <v>124</v>
      </c>
      <c r="DR14" s="395"/>
      <c r="DS14" s="395" t="s">
        <v>125</v>
      </c>
      <c r="DT14" s="395"/>
      <c r="DU14" s="395" t="s">
        <v>126</v>
      </c>
      <c r="DV14" s="395"/>
      <c r="DW14" s="395" t="s">
        <v>151</v>
      </c>
      <c r="DX14" s="395"/>
      <c r="DY14" s="395" t="s">
        <v>152</v>
      </c>
      <c r="DZ14" s="395"/>
      <c r="EA14" s="395" t="s">
        <v>106</v>
      </c>
      <c r="EB14" s="395"/>
      <c r="EC14" s="395" t="s">
        <v>107</v>
      </c>
      <c r="ED14" s="396"/>
      <c r="EE14" s="409" t="s">
        <v>104</v>
      </c>
      <c r="EF14" s="411"/>
      <c r="EG14" s="412" t="s">
        <v>72</v>
      </c>
      <c r="EH14" s="395" t="s">
        <v>132</v>
      </c>
      <c r="EI14" s="396"/>
      <c r="EJ14" s="414" t="s">
        <v>144</v>
      </c>
      <c r="EK14" s="408"/>
      <c r="EL14" s="409" t="s">
        <v>141</v>
      </c>
      <c r="EM14" s="411"/>
      <c r="EN14" s="407" t="s">
        <v>147</v>
      </c>
      <c r="EO14" s="408"/>
      <c r="EP14" s="409" t="s">
        <v>130</v>
      </c>
      <c r="EQ14" s="410"/>
    </row>
    <row r="15" spans="1:208" ht="15.75" thickBot="1">
      <c r="A15" s="433"/>
      <c r="B15" s="434"/>
      <c r="C15" s="434"/>
      <c r="D15" s="434"/>
      <c r="E15" s="434"/>
      <c r="F15" s="434"/>
      <c r="G15" s="434"/>
      <c r="H15" s="435"/>
      <c r="AV15" s="448"/>
      <c r="AW15" s="451"/>
      <c r="AX15" s="454"/>
      <c r="AY15" s="451"/>
      <c r="AZ15" s="457"/>
      <c r="BC15" s="425"/>
      <c r="BD15" s="428"/>
      <c r="BE15" s="429"/>
      <c r="DA15" s="5"/>
      <c r="DB15" s="422"/>
      <c r="DC15" s="423"/>
      <c r="DD15" s="388"/>
      <c r="DE15" s="389"/>
      <c r="DI15" s="405"/>
      <c r="DJ15" s="406"/>
      <c r="DK15" s="406"/>
      <c r="DL15" s="406"/>
      <c r="DM15" s="406"/>
      <c r="DN15" s="406"/>
      <c r="DO15" s="397"/>
      <c r="DP15" s="397"/>
      <c r="DQ15" s="397"/>
      <c r="DR15" s="397"/>
      <c r="DS15" s="397"/>
      <c r="DT15" s="397"/>
      <c r="DU15" s="397"/>
      <c r="DV15" s="397"/>
      <c r="DW15" s="397"/>
      <c r="DX15" s="397"/>
      <c r="DY15" s="397"/>
      <c r="DZ15" s="397"/>
      <c r="EA15" s="397"/>
      <c r="EB15" s="397"/>
      <c r="EC15" s="397"/>
      <c r="ED15" s="398"/>
      <c r="EE15" s="153"/>
      <c r="EF15" s="344"/>
      <c r="EG15" s="413"/>
      <c r="EH15" s="397"/>
      <c r="EI15" s="398"/>
      <c r="EJ15" s="153"/>
      <c r="EK15" s="154"/>
      <c r="EL15" s="153"/>
      <c r="EM15" s="344"/>
      <c r="EN15" s="154"/>
      <c r="EO15" s="154"/>
      <c r="EP15" s="153"/>
      <c r="EQ15" s="155"/>
    </row>
    <row r="16" spans="1:208" ht="15.75" thickBot="1">
      <c r="A16" s="433"/>
      <c r="B16" s="434"/>
      <c r="C16" s="434"/>
      <c r="D16" s="434"/>
      <c r="E16" s="434"/>
      <c r="F16" s="434"/>
      <c r="G16" s="434"/>
      <c r="H16" s="435"/>
      <c r="AV16" s="449"/>
      <c r="AW16" s="452"/>
      <c r="AX16" s="455"/>
      <c r="AY16" s="452"/>
      <c r="AZ16" s="458"/>
      <c r="BC16" s="36"/>
      <c r="BD16" s="418">
        <v>0.44600000000000001</v>
      </c>
      <c r="BE16" s="419"/>
      <c r="DI16" s="393"/>
      <c r="DJ16" s="394"/>
      <c r="DK16" s="381"/>
      <c r="DL16" s="380"/>
      <c r="DM16" s="394"/>
      <c r="DN16" s="381"/>
      <c r="DO16" s="380"/>
      <c r="DP16" s="381"/>
      <c r="DQ16" s="380"/>
      <c r="DR16" s="381"/>
      <c r="DS16" s="380"/>
      <c r="DT16" s="381"/>
      <c r="DU16" s="380"/>
      <c r="DV16" s="381"/>
      <c r="DW16" s="380"/>
      <c r="DX16" s="381"/>
      <c r="DY16" s="380"/>
      <c r="DZ16" s="381"/>
      <c r="EA16" s="382"/>
      <c r="EB16" s="383"/>
      <c r="EC16" s="382"/>
      <c r="ED16" s="384"/>
      <c r="EE16" s="310"/>
      <c r="EF16" s="311"/>
      <c r="EG16" s="38"/>
      <c r="EH16" s="330">
        <f>IF(EA16=EC16,EA16*EE16*EG16,(((EA16+EC16)/2)*EE16)*EG16)</f>
        <v>0</v>
      </c>
      <c r="EI16" s="378"/>
      <c r="EJ16" s="226">
        <f>MAX(DI16+DL16,DO16)+DQ16+DS16+DU16</f>
        <v>0</v>
      </c>
      <c r="EK16" s="142"/>
      <c r="EL16" s="231"/>
      <c r="EM16" s="232"/>
      <c r="EN16" s="226">
        <f>EJ16*EL16</f>
        <v>0</v>
      </c>
      <c r="EO16" s="142"/>
      <c r="EP16" s="379" t="str">
        <f>IF(EH16&gt;EN16,"Verifica","Não verifica")</f>
        <v>Não verifica</v>
      </c>
      <c r="EQ16" s="146"/>
    </row>
    <row r="17" spans="1:177" ht="16.5" thickBot="1">
      <c r="A17" s="433"/>
      <c r="B17" s="434"/>
      <c r="C17" s="434"/>
      <c r="D17" s="434"/>
      <c r="E17" s="434"/>
      <c r="F17" s="434"/>
      <c r="G17" s="434"/>
      <c r="H17" s="435"/>
      <c r="AV17" s="90">
        <v>192</v>
      </c>
      <c r="AW17" s="89">
        <v>24</v>
      </c>
      <c r="AX17" s="91">
        <f>(AV17/AW17)^(1/3)</f>
        <v>1.9999999999999998</v>
      </c>
      <c r="AY17" s="89">
        <v>0.65</v>
      </c>
      <c r="AZ17" s="92">
        <f>AX17*AY17</f>
        <v>1.2999999999999998</v>
      </c>
      <c r="BC17" s="4">
        <f>BA26</f>
        <v>5.6923076923076925</v>
      </c>
      <c r="BD17" s="461" t="e">
        <f>BD16+(((BC17-BC16)*(BD18-BD16))/(BC18-BC16))</f>
        <v>#DIV/0!</v>
      </c>
      <c r="BE17" s="462"/>
      <c r="DA17" s="415" t="s">
        <v>154</v>
      </c>
      <c r="DB17" s="416"/>
      <c r="DC17" s="416"/>
      <c r="DD17" s="416"/>
      <c r="DE17" s="417"/>
    </row>
    <row r="18" spans="1:177" ht="18.75" thickBot="1">
      <c r="A18" s="444"/>
      <c r="B18" s="445"/>
      <c r="C18" s="445"/>
      <c r="D18" s="445"/>
      <c r="E18" s="445"/>
      <c r="F18" s="445"/>
      <c r="G18" s="445"/>
      <c r="H18" s="446"/>
      <c r="AV18" s="93" t="s">
        <v>264</v>
      </c>
      <c r="AX18" s="94"/>
      <c r="AY18" s="94"/>
      <c r="AZ18" s="94"/>
      <c r="BC18" s="5"/>
      <c r="BD18" s="399">
        <v>0.36199999999999999</v>
      </c>
      <c r="BE18" s="400"/>
      <c r="DA18" s="39" t="s">
        <v>134</v>
      </c>
      <c r="DB18" s="401" t="s">
        <v>135</v>
      </c>
      <c r="DC18" s="401"/>
      <c r="DD18" s="401" t="s">
        <v>136</v>
      </c>
      <c r="DE18" s="402"/>
      <c r="DI18" s="403" t="s">
        <v>127</v>
      </c>
      <c r="DJ18" s="404"/>
      <c r="DK18" s="404"/>
      <c r="DL18" s="404" t="s">
        <v>128</v>
      </c>
      <c r="DM18" s="404"/>
      <c r="DN18" s="404"/>
      <c r="DO18" s="395" t="s">
        <v>129</v>
      </c>
      <c r="DP18" s="395"/>
      <c r="DQ18" s="395" t="s">
        <v>124</v>
      </c>
      <c r="DR18" s="395"/>
      <c r="DS18" s="395" t="s">
        <v>125</v>
      </c>
      <c r="DT18" s="395"/>
      <c r="DU18" s="395" t="s">
        <v>126</v>
      </c>
      <c r="DV18" s="395"/>
      <c r="DW18" s="395" t="s">
        <v>151</v>
      </c>
      <c r="DX18" s="395"/>
      <c r="DY18" s="395" t="s">
        <v>152</v>
      </c>
      <c r="DZ18" s="395"/>
      <c r="EA18" s="395" t="s">
        <v>149</v>
      </c>
      <c r="EB18" s="395"/>
      <c r="EC18" s="395" t="s">
        <v>150</v>
      </c>
      <c r="ED18" s="396"/>
      <c r="EE18" s="409" t="s">
        <v>159</v>
      </c>
      <c r="EF18" s="411"/>
      <c r="EG18" s="412" t="s">
        <v>72</v>
      </c>
      <c r="EH18" s="395" t="s">
        <v>156</v>
      </c>
      <c r="EI18" s="396"/>
      <c r="EJ18" s="414" t="s">
        <v>157</v>
      </c>
      <c r="EK18" s="408"/>
      <c r="EL18" s="409" t="s">
        <v>141</v>
      </c>
      <c r="EM18" s="411"/>
      <c r="EN18" s="407" t="s">
        <v>158</v>
      </c>
      <c r="EO18" s="408"/>
      <c r="EP18" s="409" t="s">
        <v>130</v>
      </c>
      <c r="EQ18" s="410"/>
    </row>
    <row r="19" spans="1:177" ht="15.75" thickBot="1">
      <c r="AE19" s="3"/>
      <c r="AF19" s="3"/>
      <c r="AG19" s="3"/>
      <c r="DA19" s="40"/>
      <c r="DB19" s="385"/>
      <c r="DC19" s="385"/>
      <c r="DD19" s="386">
        <f>((DB20+DB19)/2)*(ABS(DA19-DA20))</f>
        <v>0</v>
      </c>
      <c r="DE19" s="387"/>
      <c r="DG19" s="42"/>
      <c r="DI19" s="405"/>
      <c r="DJ19" s="406"/>
      <c r="DK19" s="406"/>
      <c r="DL19" s="406"/>
      <c r="DM19" s="406"/>
      <c r="DN19" s="406"/>
      <c r="DO19" s="397"/>
      <c r="DP19" s="397"/>
      <c r="DQ19" s="397"/>
      <c r="DR19" s="397"/>
      <c r="DS19" s="397"/>
      <c r="DT19" s="397"/>
      <c r="DU19" s="397"/>
      <c r="DV19" s="397"/>
      <c r="DW19" s="397"/>
      <c r="DX19" s="397"/>
      <c r="DY19" s="397"/>
      <c r="DZ19" s="397"/>
      <c r="EA19" s="397"/>
      <c r="EB19" s="397"/>
      <c r="EC19" s="397"/>
      <c r="ED19" s="398"/>
      <c r="EE19" s="153"/>
      <c r="EF19" s="344"/>
      <c r="EG19" s="413"/>
      <c r="EH19" s="397"/>
      <c r="EI19" s="398"/>
      <c r="EJ19" s="153"/>
      <c r="EK19" s="154"/>
      <c r="EL19" s="153"/>
      <c r="EM19" s="344"/>
      <c r="EN19" s="154"/>
      <c r="EO19" s="154"/>
      <c r="EP19" s="153"/>
      <c r="EQ19" s="155"/>
    </row>
    <row r="20" spans="1:177" ht="15.75" thickBot="1">
      <c r="AE20" s="390" t="s">
        <v>24</v>
      </c>
      <c r="AF20" s="390"/>
      <c r="AG20" s="390"/>
      <c r="DA20" s="37"/>
      <c r="DB20" s="392"/>
      <c r="DC20" s="392"/>
      <c r="DD20" s="388"/>
      <c r="DE20" s="389"/>
      <c r="DI20" s="393"/>
      <c r="DJ20" s="394"/>
      <c r="DK20" s="381"/>
      <c r="DL20" s="380"/>
      <c r="DM20" s="394"/>
      <c r="DN20" s="381"/>
      <c r="DO20" s="380"/>
      <c r="DP20" s="381"/>
      <c r="DQ20" s="380"/>
      <c r="DR20" s="381"/>
      <c r="DS20" s="380"/>
      <c r="DT20" s="381"/>
      <c r="DU20" s="380"/>
      <c r="DV20" s="381"/>
      <c r="DW20" s="380"/>
      <c r="DX20" s="381"/>
      <c r="DY20" s="380"/>
      <c r="DZ20" s="381"/>
      <c r="EA20" s="382"/>
      <c r="EB20" s="383"/>
      <c r="EC20" s="382"/>
      <c r="ED20" s="384"/>
      <c r="EE20" s="310"/>
      <c r="EF20" s="311"/>
      <c r="EG20" s="38"/>
      <c r="EH20" s="330">
        <f>IF(EA20=EC20,EA20*EE20*EG20,(((EA20+EC20)/2)*EE20)*EG20)</f>
        <v>0</v>
      </c>
      <c r="EI20" s="378"/>
      <c r="EJ20" s="226">
        <f>MAX(DI20+DL20,DO20)+DQ20+DS20+DU20</f>
        <v>0</v>
      </c>
      <c r="EK20" s="142"/>
      <c r="EL20" s="231"/>
      <c r="EM20" s="232"/>
      <c r="EN20" s="226">
        <f>EJ20*EL20</f>
        <v>0</v>
      </c>
      <c r="EO20" s="142"/>
      <c r="EP20" s="379" t="str">
        <f>IF(EH20&gt;EN20,"Verifica","Não verifica")</f>
        <v>Não verifica</v>
      </c>
      <c r="EQ20" s="146"/>
    </row>
    <row r="21" spans="1:177">
      <c r="AE21" s="390"/>
      <c r="AF21" s="390"/>
      <c r="AG21" s="390"/>
    </row>
    <row r="22" spans="1:177" ht="15.75" thickBot="1">
      <c r="AE22" s="391"/>
      <c r="AF22" s="391"/>
      <c r="AG22" s="391"/>
    </row>
    <row r="23" spans="1:177" ht="16.5" thickBot="1">
      <c r="A23" s="138" t="s">
        <v>27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40"/>
      <c r="AH23" s="138" t="s">
        <v>26</v>
      </c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40"/>
      <c r="AZ23" s="138" t="s">
        <v>37</v>
      </c>
      <c r="BA23" s="139"/>
      <c r="BB23" s="139"/>
      <c r="BC23" s="139"/>
      <c r="BD23" s="139"/>
      <c r="BE23" s="139"/>
      <c r="BF23" s="139"/>
      <c r="BG23" s="139"/>
      <c r="BH23" s="140"/>
      <c r="BI23" s="138" t="s">
        <v>43</v>
      </c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40"/>
      <c r="BY23" s="138" t="s">
        <v>52</v>
      </c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40"/>
    </row>
    <row r="24" spans="1:177" ht="16.5" thickTop="1" thickBot="1">
      <c r="A24" s="376" t="s">
        <v>1</v>
      </c>
      <c r="B24" s="147" t="s">
        <v>3</v>
      </c>
      <c r="C24" s="149"/>
      <c r="D24" s="367" t="s">
        <v>8</v>
      </c>
      <c r="E24" s="371"/>
      <c r="F24" s="147" t="s">
        <v>9</v>
      </c>
      <c r="G24" s="148"/>
      <c r="H24" s="147" t="s">
        <v>16</v>
      </c>
      <c r="I24" s="148"/>
      <c r="J24" s="149"/>
      <c r="K24" s="147" t="s">
        <v>14</v>
      </c>
      <c r="L24" s="149"/>
      <c r="M24" s="147" t="s">
        <v>275</v>
      </c>
      <c r="N24" s="149"/>
      <c r="O24" s="367" t="s">
        <v>15</v>
      </c>
      <c r="P24" s="371"/>
      <c r="Q24" s="147" t="s">
        <v>276</v>
      </c>
      <c r="R24" s="148"/>
      <c r="S24" s="365" t="s">
        <v>10</v>
      </c>
      <c r="T24" s="348"/>
      <c r="U24" s="366"/>
      <c r="V24" s="372" t="s">
        <v>32</v>
      </c>
      <c r="W24" s="147" t="s">
        <v>267</v>
      </c>
      <c r="X24" s="148"/>
      <c r="Y24" s="148"/>
      <c r="Z24" s="367" t="s">
        <v>17</v>
      </c>
      <c r="AA24" s="367" t="s">
        <v>56</v>
      </c>
      <c r="AB24" s="367" t="s">
        <v>18</v>
      </c>
      <c r="AC24" s="367" t="s">
        <v>19</v>
      </c>
      <c r="AD24" s="369" t="s">
        <v>20</v>
      </c>
      <c r="AE24" s="147" t="s">
        <v>108</v>
      </c>
      <c r="AF24" s="148"/>
      <c r="AG24" s="181"/>
      <c r="AH24" s="182" t="s">
        <v>28</v>
      </c>
      <c r="AI24" s="362"/>
      <c r="AJ24" s="365" t="s">
        <v>29</v>
      </c>
      <c r="AK24" s="366"/>
      <c r="AL24" s="147" t="s">
        <v>31</v>
      </c>
      <c r="AM24" s="147" t="s">
        <v>34</v>
      </c>
      <c r="AN24" s="147" t="s">
        <v>33</v>
      </c>
      <c r="AO24" s="374" t="s">
        <v>69</v>
      </c>
      <c r="AP24" s="147" t="s">
        <v>58</v>
      </c>
      <c r="AQ24" s="150" t="s">
        <v>70</v>
      </c>
      <c r="AR24" s="356"/>
      <c r="AS24" s="147" t="s">
        <v>35</v>
      </c>
      <c r="AT24" s="352" t="s">
        <v>47</v>
      </c>
      <c r="AU24" s="358" t="s">
        <v>274</v>
      </c>
      <c r="AV24" s="359"/>
      <c r="AW24" s="147" t="s">
        <v>57</v>
      </c>
      <c r="AX24" s="147" t="s">
        <v>71</v>
      </c>
      <c r="AY24" s="181"/>
      <c r="AZ24" s="182" t="s">
        <v>45</v>
      </c>
      <c r="BA24" s="352" t="s">
        <v>46</v>
      </c>
      <c r="BB24" s="354" t="s">
        <v>160</v>
      </c>
      <c r="BC24" s="350"/>
      <c r="BD24" s="355"/>
      <c r="BE24" s="147" t="s">
        <v>38</v>
      </c>
      <c r="BF24" s="147" t="s">
        <v>39</v>
      </c>
      <c r="BG24" s="147" t="s">
        <v>59</v>
      </c>
      <c r="BH24" s="345" t="s">
        <v>232</v>
      </c>
      <c r="BI24" s="347" t="s">
        <v>44</v>
      </c>
      <c r="BJ24" s="348"/>
      <c r="BK24" s="348"/>
      <c r="BL24" s="348"/>
      <c r="BM24" s="348"/>
      <c r="BN24" s="349" t="s">
        <v>49</v>
      </c>
      <c r="BO24" s="350"/>
      <c r="BP24" s="350"/>
      <c r="BQ24" s="350"/>
      <c r="BR24" s="350"/>
      <c r="BS24" s="350"/>
      <c r="BT24" s="350"/>
      <c r="BU24" s="350"/>
      <c r="BV24" s="350"/>
      <c r="BW24" s="350"/>
      <c r="BX24" s="351"/>
      <c r="BY24" s="182" t="s">
        <v>109</v>
      </c>
      <c r="BZ24" s="148"/>
      <c r="CA24" s="149"/>
      <c r="CB24" s="147" t="s">
        <v>167</v>
      </c>
      <c r="CC24" s="149"/>
      <c r="CD24" s="147" t="s">
        <v>114</v>
      </c>
      <c r="CE24" s="148"/>
      <c r="CF24" s="148"/>
      <c r="CG24" s="147" t="s">
        <v>110</v>
      </c>
      <c r="CH24" s="148"/>
      <c r="CI24" s="149"/>
      <c r="CJ24" s="147" t="s">
        <v>111</v>
      </c>
      <c r="CK24" s="148"/>
      <c r="CL24" s="149"/>
      <c r="CM24" s="147" t="s">
        <v>112</v>
      </c>
      <c r="CN24" s="149"/>
      <c r="CO24" s="147" t="s">
        <v>60</v>
      </c>
      <c r="CP24" s="149"/>
      <c r="CQ24" s="147" t="s">
        <v>116</v>
      </c>
      <c r="CR24" s="148"/>
      <c r="CS24" s="147" t="s">
        <v>113</v>
      </c>
      <c r="CT24" s="149"/>
      <c r="CU24" s="147" t="s">
        <v>311</v>
      </c>
      <c r="CV24" s="149"/>
      <c r="CW24" s="147" t="s">
        <v>68</v>
      </c>
      <c r="CX24" s="149"/>
      <c r="CY24" s="147" t="s">
        <v>138</v>
      </c>
      <c r="CZ24" s="148"/>
      <c r="DA24" s="148"/>
      <c r="DB24" s="147" t="s">
        <v>61</v>
      </c>
      <c r="DC24" s="148"/>
      <c r="DD24" s="149"/>
      <c r="DE24" s="147" t="s">
        <v>115</v>
      </c>
      <c r="DF24" s="149"/>
      <c r="DG24" s="147" t="s">
        <v>95</v>
      </c>
      <c r="DH24" s="148"/>
      <c r="DI24" s="149"/>
      <c r="DJ24" s="147" t="s">
        <v>96</v>
      </c>
      <c r="DK24" s="149"/>
      <c r="DL24" s="147" t="s">
        <v>97</v>
      </c>
      <c r="DM24" s="149"/>
      <c r="DN24" s="147" t="s">
        <v>94</v>
      </c>
      <c r="DO24" s="149"/>
      <c r="DP24" s="147" t="s">
        <v>92</v>
      </c>
      <c r="DQ24" s="149"/>
      <c r="DR24" s="147" t="s">
        <v>93</v>
      </c>
      <c r="DS24" s="149"/>
      <c r="DT24" s="147" t="s">
        <v>98</v>
      </c>
      <c r="DU24" s="149"/>
      <c r="DV24" s="147" t="s">
        <v>99</v>
      </c>
      <c r="DW24" s="149"/>
      <c r="DX24" s="147" t="s">
        <v>100</v>
      </c>
      <c r="DY24" s="149"/>
      <c r="DZ24" s="147" t="s">
        <v>101</v>
      </c>
      <c r="EA24" s="149"/>
      <c r="EB24" s="147" t="s">
        <v>102</v>
      </c>
      <c r="EC24" s="149"/>
      <c r="ED24" s="147" t="s">
        <v>103</v>
      </c>
      <c r="EE24" s="149"/>
      <c r="EF24" s="147" t="s">
        <v>104</v>
      </c>
      <c r="EG24" s="149"/>
      <c r="EH24" s="147" t="s">
        <v>105</v>
      </c>
      <c r="EI24" s="149"/>
      <c r="EJ24" s="147" t="s">
        <v>106</v>
      </c>
      <c r="EK24" s="149"/>
      <c r="EL24" s="147" t="s">
        <v>107</v>
      </c>
      <c r="EM24" s="149"/>
      <c r="EN24" s="147" t="s">
        <v>74</v>
      </c>
      <c r="EO24" s="148"/>
      <c r="EP24" s="148"/>
      <c r="EQ24" s="147" t="s">
        <v>117</v>
      </c>
      <c r="ER24" s="148"/>
      <c r="ES24" s="149"/>
      <c r="ET24" s="147" t="s">
        <v>307</v>
      </c>
      <c r="EU24" s="148"/>
      <c r="EV24" s="149"/>
      <c r="EW24" s="147" t="s">
        <v>308</v>
      </c>
      <c r="EX24" s="148"/>
      <c r="EY24" s="148"/>
      <c r="EZ24" s="147" t="s">
        <v>309</v>
      </c>
      <c r="FA24" s="148"/>
      <c r="FB24" s="149"/>
      <c r="FC24" s="147" t="s">
        <v>121</v>
      </c>
      <c r="FD24" s="148"/>
      <c r="FE24" s="149"/>
      <c r="FF24" s="147" t="s">
        <v>118</v>
      </c>
      <c r="FG24" s="148"/>
      <c r="FH24" s="148"/>
      <c r="FI24" s="148"/>
      <c r="FJ24" s="147" t="s">
        <v>119</v>
      </c>
      <c r="FK24" s="148"/>
      <c r="FL24" s="149"/>
      <c r="FM24" s="147" t="s">
        <v>120</v>
      </c>
      <c r="FN24" s="148"/>
      <c r="FO24" s="148"/>
      <c r="FP24" s="147" t="s">
        <v>260</v>
      </c>
      <c r="FQ24" s="148"/>
      <c r="FR24" s="148"/>
      <c r="FS24" s="147" t="s">
        <v>122</v>
      </c>
      <c r="FT24" s="148"/>
      <c r="FU24" s="181"/>
    </row>
    <row r="25" spans="1:177" ht="19.5" thickTop="1" thickBot="1">
      <c r="A25" s="377"/>
      <c r="B25" s="153"/>
      <c r="C25" s="344"/>
      <c r="D25" s="368"/>
      <c r="E25" s="370"/>
      <c r="F25" s="153"/>
      <c r="G25" s="154"/>
      <c r="H25" s="153"/>
      <c r="I25" s="154"/>
      <c r="J25" s="344"/>
      <c r="K25" s="153"/>
      <c r="L25" s="344"/>
      <c r="M25" s="153"/>
      <c r="N25" s="344"/>
      <c r="O25" s="368"/>
      <c r="P25" s="370"/>
      <c r="Q25" s="153"/>
      <c r="R25" s="154"/>
      <c r="S25" s="31" t="s">
        <v>11</v>
      </c>
      <c r="T25" s="122" t="s">
        <v>13</v>
      </c>
      <c r="U25" s="32" t="s">
        <v>12</v>
      </c>
      <c r="V25" s="373"/>
      <c r="W25" s="153"/>
      <c r="X25" s="154"/>
      <c r="Y25" s="154"/>
      <c r="Z25" s="368"/>
      <c r="AA25" s="368"/>
      <c r="AB25" s="368"/>
      <c r="AC25" s="368"/>
      <c r="AD25" s="370"/>
      <c r="AE25" s="153"/>
      <c r="AF25" s="154"/>
      <c r="AG25" s="155"/>
      <c r="AH25" s="363"/>
      <c r="AI25" s="364"/>
      <c r="AJ25" s="29" t="s">
        <v>30</v>
      </c>
      <c r="AK25" s="30" t="s">
        <v>53</v>
      </c>
      <c r="AL25" s="153"/>
      <c r="AM25" s="153"/>
      <c r="AN25" s="153"/>
      <c r="AO25" s="375"/>
      <c r="AP25" s="153"/>
      <c r="AQ25" s="153"/>
      <c r="AR25" s="344"/>
      <c r="AS25" s="153"/>
      <c r="AT25" s="357"/>
      <c r="AU25" s="360"/>
      <c r="AV25" s="361"/>
      <c r="AW25" s="153"/>
      <c r="AX25" s="153"/>
      <c r="AY25" s="155"/>
      <c r="AZ25" s="297"/>
      <c r="BA25" s="353"/>
      <c r="BB25" s="122" t="s">
        <v>42</v>
      </c>
      <c r="BC25" s="27" t="s">
        <v>40</v>
      </c>
      <c r="BD25" s="28" t="s">
        <v>41</v>
      </c>
      <c r="BE25" s="153"/>
      <c r="BF25" s="153"/>
      <c r="BG25" s="153"/>
      <c r="BH25" s="346"/>
      <c r="BI25" s="337" t="s">
        <v>233</v>
      </c>
      <c r="BJ25" s="338"/>
      <c r="BK25" s="69" t="s">
        <v>48</v>
      </c>
      <c r="BL25" s="339" t="s">
        <v>234</v>
      </c>
      <c r="BM25" s="338"/>
      <c r="BN25" s="340" t="s">
        <v>235</v>
      </c>
      <c r="BO25" s="338"/>
      <c r="BP25" s="69" t="s">
        <v>50</v>
      </c>
      <c r="BQ25" s="27" t="s">
        <v>51</v>
      </c>
      <c r="BR25" s="341" t="s">
        <v>28</v>
      </c>
      <c r="BS25" s="342"/>
      <c r="BT25" s="339" t="s">
        <v>161</v>
      </c>
      <c r="BU25" s="338"/>
      <c r="BV25" s="338"/>
      <c r="BW25" s="339" t="s">
        <v>236</v>
      </c>
      <c r="BX25" s="343"/>
      <c r="BY25" s="297"/>
      <c r="BZ25" s="154"/>
      <c r="CA25" s="344"/>
      <c r="CB25" s="153"/>
      <c r="CC25" s="344"/>
      <c r="CD25" s="153"/>
      <c r="CE25" s="154"/>
      <c r="CF25" s="154"/>
      <c r="CG25" s="153"/>
      <c r="CH25" s="154"/>
      <c r="CI25" s="344"/>
      <c r="CJ25" s="153"/>
      <c r="CK25" s="154"/>
      <c r="CL25" s="344"/>
      <c r="CM25" s="153"/>
      <c r="CN25" s="344"/>
      <c r="CO25" s="153"/>
      <c r="CP25" s="344"/>
      <c r="CQ25" s="153"/>
      <c r="CR25" s="154"/>
      <c r="CS25" s="153"/>
      <c r="CT25" s="344"/>
      <c r="CU25" s="153"/>
      <c r="CV25" s="344"/>
      <c r="CW25" s="153"/>
      <c r="CX25" s="344"/>
      <c r="CY25" s="147"/>
      <c r="CZ25" s="148"/>
      <c r="DA25" s="148"/>
      <c r="DB25" s="147"/>
      <c r="DC25" s="148"/>
      <c r="DD25" s="149"/>
      <c r="DE25" s="153"/>
      <c r="DF25" s="344"/>
      <c r="DG25" s="153"/>
      <c r="DH25" s="154"/>
      <c r="DI25" s="344"/>
      <c r="DJ25" s="153"/>
      <c r="DK25" s="344"/>
      <c r="DL25" s="153"/>
      <c r="DM25" s="344"/>
      <c r="DN25" s="153"/>
      <c r="DO25" s="344"/>
      <c r="DP25" s="153"/>
      <c r="DQ25" s="344"/>
      <c r="DR25" s="153"/>
      <c r="DS25" s="344"/>
      <c r="DT25" s="153"/>
      <c r="DU25" s="344"/>
      <c r="DV25" s="153"/>
      <c r="DW25" s="344"/>
      <c r="DX25" s="153"/>
      <c r="DY25" s="344"/>
      <c r="DZ25" s="153"/>
      <c r="EA25" s="344"/>
      <c r="EB25" s="153"/>
      <c r="EC25" s="344"/>
      <c r="ED25" s="153"/>
      <c r="EE25" s="344"/>
      <c r="EF25" s="153"/>
      <c r="EG25" s="344"/>
      <c r="EH25" s="153"/>
      <c r="EI25" s="344"/>
      <c r="EJ25" s="153"/>
      <c r="EK25" s="344"/>
      <c r="EL25" s="153"/>
      <c r="EM25" s="344"/>
      <c r="EN25" s="153"/>
      <c r="EO25" s="154"/>
      <c r="EP25" s="154"/>
      <c r="EQ25" s="153"/>
      <c r="ER25" s="154"/>
      <c r="ES25" s="344"/>
      <c r="ET25" s="153"/>
      <c r="EU25" s="154"/>
      <c r="EV25" s="344"/>
      <c r="EW25" s="153"/>
      <c r="EX25" s="154"/>
      <c r="EY25" s="154"/>
      <c r="EZ25" s="153"/>
      <c r="FA25" s="154"/>
      <c r="FB25" s="344"/>
      <c r="FC25" s="153"/>
      <c r="FD25" s="154"/>
      <c r="FE25" s="344"/>
      <c r="FF25" s="153"/>
      <c r="FG25" s="154"/>
      <c r="FH25" s="154"/>
      <c r="FI25" s="154"/>
      <c r="FJ25" s="153"/>
      <c r="FK25" s="154"/>
      <c r="FL25" s="344"/>
      <c r="FM25" s="153"/>
      <c r="FN25" s="154"/>
      <c r="FO25" s="154"/>
      <c r="FP25" s="153"/>
      <c r="FQ25" s="154"/>
      <c r="FR25" s="154"/>
      <c r="FS25" s="153"/>
      <c r="FT25" s="154"/>
      <c r="FU25" s="155"/>
    </row>
    <row r="26" spans="1:177" ht="15.75" thickBot="1">
      <c r="A26" s="19"/>
      <c r="B26" s="333">
        <v>1.73</v>
      </c>
      <c r="C26" s="334"/>
      <c r="D26" s="327">
        <v>5.5</v>
      </c>
      <c r="E26" s="327"/>
      <c r="F26" s="467">
        <v>10.5</v>
      </c>
      <c r="G26" s="468"/>
      <c r="H26" s="307">
        <f>(9.81*(F26^2))/(2*PI())</f>
        <v>172.13442658839713</v>
      </c>
      <c r="I26" s="308"/>
      <c r="J26" s="309"/>
      <c r="K26" s="310">
        <v>33.479300000000002</v>
      </c>
      <c r="L26" s="311"/>
      <c r="M26" s="226">
        <f>H26*SQRT(TANH((2*PI()*K26)/H26))</f>
        <v>157.78798274436198</v>
      </c>
      <c r="N26" s="221"/>
      <c r="O26" s="327">
        <v>9.9</v>
      </c>
      <c r="P26" s="327"/>
      <c r="Q26" s="307">
        <f>O26/H26</f>
        <v>5.7513190105036888E-2</v>
      </c>
      <c r="R26" s="308"/>
      <c r="S26" s="20">
        <v>3.04406</v>
      </c>
      <c r="T26" s="21" t="s">
        <v>13</v>
      </c>
      <c r="U26" s="22">
        <v>2.042465</v>
      </c>
      <c r="V26" s="17">
        <f>ATAN(U26/S26)*(180/PI())</f>
        <v>33.860322984024165</v>
      </c>
      <c r="W26" s="117">
        <f>((TAN((V26*PI())/180))/(SQRT(Q26)))</f>
        <v>2.7978065724522567</v>
      </c>
      <c r="X26" s="328" t="str">
        <f>IF(W26&gt;3,"Verifica","Não verifica")</f>
        <v>Não verifica</v>
      </c>
      <c r="Y26" s="329"/>
      <c r="Z26" s="23">
        <v>5.67</v>
      </c>
      <c r="AA26" s="25">
        <f>Z26+B26</f>
        <v>7.4</v>
      </c>
      <c r="AB26" s="24">
        <v>7.4</v>
      </c>
      <c r="AC26" s="25">
        <f>Z26/O26</f>
        <v>0.57272727272727275</v>
      </c>
      <c r="AD26" s="26">
        <f>AB26/O26</f>
        <v>0.74747474747474751</v>
      </c>
      <c r="AE26" s="330" t="str">
        <f>IF(AG26=1,"Zona de Impacto",IF(AG26=2,"Zona de não Impacto",""))</f>
        <v>Zona de não Impacto</v>
      </c>
      <c r="AF26" s="308"/>
      <c r="AG26" s="68">
        <v>2</v>
      </c>
      <c r="AH26" s="331">
        <v>0.484375</v>
      </c>
      <c r="AI26" s="332"/>
      <c r="AJ26" s="119">
        <v>0.91666999999999998</v>
      </c>
      <c r="AK26" s="33">
        <v>0.74407599999999996</v>
      </c>
      <c r="AL26" s="117">
        <f>O26*(AJ26*(1-EXP(-(AK26*W26))))</f>
        <v>7.9433042925781256</v>
      </c>
      <c r="AM26" s="117">
        <f>2.9*((AL26/O26)*COS(V26*PI()/180))^2</f>
        <v>1.2873686640408544</v>
      </c>
      <c r="AN26" s="117">
        <f>O26*(1-(Z26/AL26))</f>
        <v>2.8332935095476315</v>
      </c>
      <c r="AO26" s="15">
        <f>10.25</f>
        <v>10.25</v>
      </c>
      <c r="AP26" s="8">
        <f>AA26-B26</f>
        <v>5.67</v>
      </c>
      <c r="AQ26" s="233">
        <f>AM26*AO26*AN26</f>
        <v>37.386806122275068</v>
      </c>
      <c r="AR26" s="245"/>
      <c r="AS26" s="113">
        <f>IF(AND((O26/M26)&gt;0.03,(O26/M26)&lt;0.075),(0.8*EXP((-10.9*AB26)/M26)),"INv")</f>
        <v>0.47982403318059808</v>
      </c>
      <c r="AT26" s="121">
        <v>-0.23</v>
      </c>
      <c r="AU26" s="319">
        <f>B26+AT26</f>
        <v>1.5</v>
      </c>
      <c r="AV26" s="320"/>
      <c r="AW26" s="115">
        <f>AU26-B26</f>
        <v>-0.22999999999999998</v>
      </c>
      <c r="AX26" s="233">
        <f>AM26*AS26*AO26*AN26</f>
        <v>17.939088101331102</v>
      </c>
      <c r="AY26" s="324"/>
      <c r="AZ26" s="16">
        <v>1.3</v>
      </c>
      <c r="BA26" s="17">
        <f>AB26/AZ26</f>
        <v>5.6923076923076925</v>
      </c>
      <c r="BB26" s="120">
        <v>0.29599999999999999</v>
      </c>
      <c r="BC26" s="18">
        <v>7.2999999999999995E-2</v>
      </c>
      <c r="BD26" s="18">
        <v>383.1</v>
      </c>
      <c r="BE26" s="118">
        <f>IF(AND((O26/M26)&gt;0.03,(O26/M26)&lt;0.075),BD26*((O26/M26)-BC26)^2,"Inv")</f>
        <v>4.0308989907550892E-2</v>
      </c>
      <c r="BF26" s="117">
        <f>BB26*EXP(BE26)</f>
        <v>0.30817519747676286</v>
      </c>
      <c r="BG26" s="8">
        <f>AU26-B26</f>
        <v>-0.22999999999999998</v>
      </c>
      <c r="BH26" s="11">
        <f>BF26*AO26*(AN26+Z26-BG26)</f>
        <v>27.586690632255575</v>
      </c>
      <c r="BI26" s="325">
        <f>AS26*AQ26</f>
        <v>17.939088101331098</v>
      </c>
      <c r="BJ26" s="308"/>
      <c r="BK26" s="70">
        <f>AT26</f>
        <v>-0.23</v>
      </c>
      <c r="BL26" s="226">
        <f>BF26*AO26*(AN26+Z26-BK26)</f>
        <v>27.586690632255575</v>
      </c>
      <c r="BM26" s="221"/>
      <c r="BN26" s="326">
        <v>0</v>
      </c>
      <c r="BO26" s="308"/>
      <c r="BP26" s="71">
        <v>6.5</v>
      </c>
      <c r="BQ26" s="113">
        <f>BP26/M26</f>
        <v>4.1194518663255145E-2</v>
      </c>
      <c r="BR26" s="231">
        <v>0.33750000000000002</v>
      </c>
      <c r="BS26" s="232"/>
      <c r="BT26" s="231">
        <v>0.47499999999999998</v>
      </c>
      <c r="BU26" s="230"/>
      <c r="BV26" s="232"/>
      <c r="BW26" s="221">
        <f>BT26*BL26</f>
        <v>13.103678050321397</v>
      </c>
      <c r="BX26" s="321"/>
      <c r="BY26" s="322">
        <f>AU26</f>
        <v>1.5</v>
      </c>
      <c r="BZ26" s="323"/>
      <c r="CA26" s="320"/>
      <c r="CB26" s="316">
        <v>0.25</v>
      </c>
      <c r="CC26" s="318"/>
      <c r="CD26" s="307">
        <f>CB26+BY26</f>
        <v>1.75</v>
      </c>
      <c r="CE26" s="308"/>
      <c r="CF26" s="308"/>
      <c r="CG26" s="316">
        <v>2</v>
      </c>
      <c r="CH26" s="317"/>
      <c r="CI26" s="318"/>
      <c r="CJ26" s="316">
        <v>2.5</v>
      </c>
      <c r="CK26" s="317"/>
      <c r="CL26" s="318"/>
      <c r="CM26" s="319">
        <f>CD26</f>
        <v>1.75</v>
      </c>
      <c r="CN26" s="320"/>
      <c r="CO26" s="307">
        <f>BP26</f>
        <v>6.5</v>
      </c>
      <c r="CP26" s="309"/>
      <c r="CQ26" s="316">
        <v>1.35</v>
      </c>
      <c r="CR26" s="318"/>
      <c r="CS26" s="319">
        <f>CM26+CQ26</f>
        <v>3.1</v>
      </c>
      <c r="CT26" s="320"/>
      <c r="CU26" s="310">
        <v>5.67</v>
      </c>
      <c r="CV26" s="311"/>
      <c r="CW26" s="307">
        <f>CU26+B26</f>
        <v>7.4</v>
      </c>
      <c r="CX26" s="309"/>
      <c r="CY26" s="307">
        <f>Z26+AN26</f>
        <v>8.5032935095476319</v>
      </c>
      <c r="CZ26" s="308"/>
      <c r="DA26" s="308"/>
      <c r="DB26" s="307">
        <f>AA26+AN26</f>
        <v>10.233293509547632</v>
      </c>
      <c r="DC26" s="308"/>
      <c r="DD26" s="309"/>
      <c r="DE26" s="310">
        <v>8.77</v>
      </c>
      <c r="DF26" s="311"/>
      <c r="DG26" s="307">
        <f>DE26+B26</f>
        <v>10.5</v>
      </c>
      <c r="DH26" s="308"/>
      <c r="DI26" s="309"/>
      <c r="DJ26" s="307">
        <f>DG26</f>
        <v>10.5</v>
      </c>
      <c r="DK26" s="309"/>
      <c r="DL26" s="312">
        <v>1.5</v>
      </c>
      <c r="DM26" s="313"/>
      <c r="DN26" s="307">
        <f>DJ26-DL26</f>
        <v>9</v>
      </c>
      <c r="DO26" s="309"/>
      <c r="DP26" s="310">
        <v>2.2999999999999998</v>
      </c>
      <c r="DQ26" s="311"/>
      <c r="DR26" s="310">
        <v>2.6</v>
      </c>
      <c r="DS26" s="311"/>
      <c r="DT26" s="307">
        <f>DN26</f>
        <v>9</v>
      </c>
      <c r="DU26" s="309"/>
      <c r="DV26" s="312">
        <v>2</v>
      </c>
      <c r="DW26" s="313"/>
      <c r="DX26" s="307">
        <f>DT26-DV26</f>
        <v>7</v>
      </c>
      <c r="DY26" s="309"/>
      <c r="DZ26" s="310">
        <v>3.9</v>
      </c>
      <c r="EA26" s="311"/>
      <c r="EB26" s="310">
        <v>4.2</v>
      </c>
      <c r="EC26" s="311"/>
      <c r="ED26" s="307">
        <f>DX26</f>
        <v>7</v>
      </c>
      <c r="EE26" s="309"/>
      <c r="EF26" s="312">
        <v>3.9</v>
      </c>
      <c r="EG26" s="313"/>
      <c r="EH26" s="307">
        <f>ED26-EF26</f>
        <v>3.1</v>
      </c>
      <c r="EI26" s="309"/>
      <c r="EJ26" s="310">
        <v>5.5</v>
      </c>
      <c r="EK26" s="311"/>
      <c r="EL26" s="310">
        <v>5.5</v>
      </c>
      <c r="EM26" s="311"/>
      <c r="EN26" s="310">
        <v>4.0999999999999996</v>
      </c>
      <c r="EO26" s="314"/>
      <c r="EP26" s="314"/>
      <c r="EQ26" s="307">
        <f>CW26-EN26</f>
        <v>3.3000000000000007</v>
      </c>
      <c r="ER26" s="308"/>
      <c r="ES26" s="309"/>
      <c r="ET26" s="307">
        <f>EQ26</f>
        <v>3.3000000000000007</v>
      </c>
      <c r="EU26" s="308"/>
      <c r="EV26" s="309"/>
      <c r="EW26" s="310">
        <v>1.8</v>
      </c>
      <c r="EX26" s="314"/>
      <c r="EY26" s="314"/>
      <c r="EZ26" s="307">
        <f>EQ26-EW26</f>
        <v>1.5000000000000007</v>
      </c>
      <c r="FA26" s="308"/>
      <c r="FB26" s="309"/>
      <c r="FC26" s="307">
        <f>EZ26</f>
        <v>1.5000000000000007</v>
      </c>
      <c r="FD26" s="308"/>
      <c r="FE26" s="309"/>
      <c r="FF26" s="231">
        <v>0</v>
      </c>
      <c r="FG26" s="230"/>
      <c r="FH26" s="230"/>
      <c r="FI26" s="230"/>
      <c r="FJ26" s="226">
        <f>CS26-FF26</f>
        <v>3.1</v>
      </c>
      <c r="FK26" s="221"/>
      <c r="FL26" s="142"/>
      <c r="FM26" s="310">
        <v>1.35</v>
      </c>
      <c r="FN26" s="314"/>
      <c r="FO26" s="314"/>
      <c r="FP26" s="307">
        <f>FJ26-FM26</f>
        <v>1.75</v>
      </c>
      <c r="FQ26" s="308"/>
      <c r="FR26" s="308"/>
      <c r="FS26" s="307">
        <f>FP26</f>
        <v>1.75</v>
      </c>
      <c r="FT26" s="308"/>
      <c r="FU26" s="315"/>
    </row>
    <row r="27" spans="1:177" ht="15.75" thickBot="1">
      <c r="AP27" s="110">
        <f>(AA26+AN26)-B26</f>
        <v>8.5032935095476319</v>
      </c>
      <c r="AQ27" s="301">
        <f>AM26*AO26*AN26</f>
        <v>37.386806122275068</v>
      </c>
      <c r="AR27" s="302"/>
      <c r="AW27" s="14">
        <f>B26-B26</f>
        <v>0</v>
      </c>
      <c r="AX27" s="199">
        <f>AM26*AS26*AO26*AN26</f>
        <v>17.939088101331102</v>
      </c>
      <c r="AY27" s="200"/>
      <c r="BG27" s="128">
        <f>CM26-B26</f>
        <v>2.0000000000000018E-2</v>
      </c>
      <c r="BH27" s="109">
        <f>BF26*AO26*(AN26+Z26-BG27)</f>
        <v>26.79699168872137</v>
      </c>
      <c r="DB27" s="6"/>
      <c r="DL27" s="303" t="str">
        <f>IF((DL26+DV26+EF26)=(DG26-CS26),"Corresponde",IF((DL26+DV26+EF26)&gt;(DG26-CS26),"Excede","Falta"))</f>
        <v>Corresponde</v>
      </c>
      <c r="DM27" s="304"/>
      <c r="DV27" s="303" t="str">
        <f>IF((DL26+DV26+EF26)=(DG26-CS26),"Corresponde",IF((DL26+DV26+EF26)&gt;(DG26-CS26),"Excede","Falta"))</f>
        <v>Corresponde</v>
      </c>
      <c r="DW27" s="304"/>
      <c r="EF27" s="303" t="str">
        <f>IF((DL26+DV26+EF26)=(DG26-CS26),"Corresponde",IF((DL26+DV26+EF26)&gt;(DG26-CS26),"Excede","Falta"))</f>
        <v>Corresponde</v>
      </c>
      <c r="EG27" s="304"/>
    </row>
    <row r="28" spans="1:177" ht="15.75" thickBot="1">
      <c r="W28" s="6"/>
      <c r="AW28" s="7">
        <f>AA26-B26</f>
        <v>5.67</v>
      </c>
      <c r="AX28" s="305">
        <f>AM26*AS26*AO26*AN26</f>
        <v>17.939088101331102</v>
      </c>
      <c r="AY28" s="306"/>
      <c r="BG28" s="128">
        <f>AA26-B26</f>
        <v>5.67</v>
      </c>
      <c r="BH28" s="109">
        <f>BF26*AO26*(AN26+Z26-BG28)</f>
        <v>8.9497955648483387</v>
      </c>
      <c r="DC28" s="6"/>
    </row>
    <row r="29" spans="1:177" ht="15.75" thickBot="1">
      <c r="Q29" s="105"/>
      <c r="R29" s="105"/>
      <c r="S29" s="105"/>
      <c r="BG29" s="110">
        <f>(AA26+AN26)-B26</f>
        <v>8.5032935095476319</v>
      </c>
      <c r="BH29" s="111">
        <f>BF26*AO26*(AN26+Z26-BG29)</f>
        <v>0</v>
      </c>
    </row>
    <row r="30" spans="1:177" ht="15.75" thickTop="1">
      <c r="BF30" s="58" t="s">
        <v>192</v>
      </c>
      <c r="BG30" s="54">
        <f>DJ26-B26</f>
        <v>8.77</v>
      </c>
      <c r="BH30" s="47">
        <f>BF26*AO26*(AN26+Z26-BG30)</f>
        <v>-0.84247133497580118</v>
      </c>
    </row>
    <row r="31" spans="1:177">
      <c r="Z31" s="6"/>
      <c r="AA31" s="6"/>
      <c r="AX31" s="95"/>
      <c r="AY31" s="95"/>
      <c r="AZ31" s="95"/>
      <c r="BF31" s="59" t="s">
        <v>193</v>
      </c>
      <c r="BG31" s="55">
        <f>DT26-B26</f>
        <v>7.27</v>
      </c>
      <c r="BH31" s="51">
        <f>BF26*AO26*(AN26+Z26-BG31)</f>
        <v>3.895722326229428</v>
      </c>
    </row>
    <row r="32" spans="1:177">
      <c r="AX32" s="96"/>
      <c r="AY32" s="96"/>
      <c r="AZ32" s="96"/>
      <c r="BF32" s="59" t="s">
        <v>194</v>
      </c>
      <c r="BG32" s="56">
        <f>ED26-B26</f>
        <v>5.27</v>
      </c>
      <c r="BH32" s="53">
        <f>BF26*AO26*(AN26+Z26-BG32)</f>
        <v>10.213313874503067</v>
      </c>
    </row>
    <row r="33" spans="1:282">
      <c r="BF33" s="59" t="s">
        <v>195</v>
      </c>
      <c r="BG33" s="56">
        <f>CS26-B26</f>
        <v>1.37</v>
      </c>
      <c r="BH33" s="53">
        <f>BF26*AO26*(AN26+Z26-BG33)</f>
        <v>22.532617393636663</v>
      </c>
    </row>
    <row r="34" spans="1:282">
      <c r="BF34" s="59" t="s">
        <v>196</v>
      </c>
      <c r="BG34" s="56">
        <f>CD26-B26</f>
        <v>2.0000000000000018E-2</v>
      </c>
      <c r="BH34" s="53">
        <f>BF26*AO26*(AN26+Z26-BG34)</f>
        <v>26.79699168872137</v>
      </c>
    </row>
    <row r="35" spans="1:282" ht="15.75" thickBot="1">
      <c r="BF35" s="60" t="s">
        <v>197</v>
      </c>
      <c r="BG35" s="57">
        <f>BY26-B26</f>
        <v>-0.22999999999999998</v>
      </c>
      <c r="BH35" s="52">
        <f>BF26*AO26*(AN26+Z26-BG35)</f>
        <v>27.586690632255575</v>
      </c>
    </row>
    <row r="36" spans="1:282" ht="16.5" thickTop="1" thickBo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</row>
    <row r="37" spans="1:282" ht="16.5" thickBot="1">
      <c r="A37" s="97" t="s">
        <v>62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9"/>
      <c r="FB37" s="294" t="s">
        <v>63</v>
      </c>
      <c r="FC37" s="295"/>
      <c r="FD37" s="295"/>
      <c r="FE37" s="295"/>
      <c r="FF37" s="295"/>
      <c r="FG37" s="295"/>
      <c r="FH37" s="295"/>
      <c r="FI37" s="295"/>
      <c r="FJ37" s="295"/>
      <c r="FK37" s="295"/>
      <c r="FL37" s="295"/>
      <c r="FM37" s="295"/>
      <c r="FN37" s="295"/>
      <c r="FO37" s="295"/>
      <c r="FP37" s="295"/>
      <c r="FQ37" s="295"/>
      <c r="FR37" s="295"/>
      <c r="FS37" s="295"/>
      <c r="FT37" s="295"/>
      <c r="FU37" s="295"/>
      <c r="FV37" s="295"/>
      <c r="FW37" s="295"/>
      <c r="FX37" s="295"/>
      <c r="FY37" s="295"/>
      <c r="FZ37" s="295"/>
      <c r="GA37" s="295"/>
      <c r="GB37" s="295"/>
      <c r="GC37" s="295"/>
      <c r="GD37" s="295"/>
      <c r="GE37" s="295"/>
      <c r="GF37" s="295"/>
      <c r="GG37" s="295"/>
      <c r="GH37" s="295"/>
      <c r="GI37" s="295"/>
      <c r="GJ37" s="295"/>
      <c r="GK37" s="295"/>
      <c r="GL37" s="295"/>
      <c r="GM37" s="295"/>
      <c r="GN37" s="295"/>
      <c r="GO37" s="295"/>
      <c r="GP37" s="295"/>
      <c r="GQ37" s="295"/>
      <c r="GR37" s="295"/>
      <c r="GS37" s="295"/>
      <c r="GT37" s="295"/>
      <c r="GU37" s="295"/>
      <c r="GV37" s="295"/>
      <c r="GW37" s="295"/>
      <c r="GX37" s="295"/>
      <c r="GY37" s="295"/>
      <c r="GZ37" s="295"/>
      <c r="HA37" s="295"/>
      <c r="HB37" s="295"/>
      <c r="HC37" s="295"/>
      <c r="HD37" s="295"/>
      <c r="HE37" s="295"/>
      <c r="HF37" s="295"/>
      <c r="HG37" s="295"/>
      <c r="HH37" s="295"/>
      <c r="HI37" s="295"/>
      <c r="HJ37" s="295"/>
      <c r="HK37" s="295"/>
      <c r="HL37" s="295"/>
      <c r="HM37" s="295"/>
      <c r="HN37" s="295"/>
      <c r="HO37" s="295"/>
      <c r="HP37" s="295"/>
      <c r="HQ37" s="295"/>
      <c r="HR37" s="295"/>
      <c r="HS37" s="295"/>
      <c r="HT37" s="295"/>
      <c r="HU37" s="295"/>
      <c r="HV37" s="295"/>
      <c r="HW37" s="295"/>
      <c r="HX37" s="295"/>
      <c r="HY37" s="295"/>
      <c r="HZ37" s="295"/>
      <c r="IA37" s="295"/>
      <c r="IB37" s="295"/>
      <c r="IC37" s="295"/>
      <c r="ID37" s="295"/>
      <c r="IE37" s="295"/>
      <c r="IF37" s="295"/>
      <c r="IG37" s="295"/>
      <c r="IH37" s="295"/>
      <c r="II37" s="295"/>
      <c r="IJ37" s="295"/>
      <c r="IK37" s="295"/>
      <c r="IL37" s="295"/>
      <c r="IM37" s="295"/>
      <c r="IN37" s="295"/>
      <c r="IO37" s="295"/>
      <c r="IP37" s="295"/>
      <c r="IQ37" s="295"/>
      <c r="IR37" s="295"/>
      <c r="IS37" s="295"/>
      <c r="IT37" s="295"/>
      <c r="IU37" s="295"/>
      <c r="IV37" s="295"/>
      <c r="IW37" s="295"/>
      <c r="IX37" s="295"/>
      <c r="IY37" s="295"/>
      <c r="IZ37" s="295"/>
      <c r="JA37" s="295"/>
      <c r="JB37" s="295"/>
      <c r="JC37" s="295"/>
      <c r="JD37" s="295"/>
      <c r="JE37" s="296"/>
    </row>
    <row r="38" spans="1:282" ht="16.5" customHeight="1" thickTop="1" thickBot="1">
      <c r="A38" s="297" t="s">
        <v>182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298" t="s">
        <v>183</v>
      </c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298" t="s">
        <v>65</v>
      </c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03"/>
      <c r="CS38" s="104"/>
      <c r="CT38" s="463" t="s">
        <v>310</v>
      </c>
      <c r="CU38" s="464"/>
      <c r="CV38" s="464"/>
      <c r="CW38" s="464"/>
      <c r="CX38" s="464"/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4"/>
      <c r="DK38" s="464"/>
      <c r="DL38" s="464"/>
      <c r="DM38" s="464"/>
      <c r="DN38" s="464"/>
      <c r="DO38" s="465"/>
      <c r="DP38" s="300" t="s">
        <v>177</v>
      </c>
      <c r="DQ38" s="154"/>
      <c r="DR38" s="154"/>
      <c r="DS38" s="154"/>
      <c r="DT38" s="298" t="s">
        <v>165</v>
      </c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298" t="s">
        <v>166</v>
      </c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300" t="s">
        <v>181</v>
      </c>
      <c r="EY38" s="154"/>
      <c r="EZ38" s="154"/>
      <c r="FA38" s="154"/>
      <c r="FB38" s="297" t="s">
        <v>64</v>
      </c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154"/>
      <c r="FS38" s="154"/>
      <c r="FT38" s="154"/>
      <c r="FU38" s="154"/>
      <c r="FV38" s="154"/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  <c r="GG38" s="154"/>
      <c r="GH38" s="154"/>
      <c r="GI38" s="154"/>
      <c r="GJ38" s="154"/>
      <c r="GK38" s="154"/>
      <c r="GL38" s="154"/>
      <c r="GM38" s="154"/>
      <c r="GN38" s="154"/>
      <c r="GO38" s="154"/>
      <c r="GP38" s="154"/>
      <c r="GQ38" s="154"/>
      <c r="GR38" s="154"/>
      <c r="GS38" s="154"/>
      <c r="GT38" s="154"/>
      <c r="GU38" s="154"/>
      <c r="GV38" s="154"/>
      <c r="GW38" s="154"/>
      <c r="GX38" s="154"/>
      <c r="GY38" s="154"/>
      <c r="GZ38" s="154"/>
      <c r="HA38" s="154"/>
      <c r="HB38" s="154"/>
      <c r="HC38" s="154"/>
      <c r="HD38" s="154"/>
      <c r="HE38" s="154"/>
      <c r="HF38" s="154"/>
      <c r="HG38" s="154"/>
      <c r="HH38" s="154"/>
      <c r="HI38" s="154"/>
      <c r="HJ38" s="154"/>
      <c r="HK38" s="154"/>
      <c r="HL38" s="154"/>
      <c r="HM38" s="154"/>
      <c r="HN38" s="154"/>
      <c r="HO38" s="154"/>
      <c r="HP38" s="154"/>
      <c r="HQ38" s="154"/>
      <c r="HR38" s="154"/>
      <c r="HS38" s="154"/>
      <c r="HT38" s="154"/>
      <c r="HU38" s="154"/>
      <c r="HV38" s="154"/>
      <c r="HW38" s="154"/>
      <c r="HX38" s="154"/>
      <c r="HY38" s="154"/>
      <c r="HZ38" s="154"/>
      <c r="IA38" s="154"/>
      <c r="IB38" s="154"/>
      <c r="IC38" s="154"/>
      <c r="ID38" s="154"/>
      <c r="IE38" s="154"/>
      <c r="IF38" s="298" t="s">
        <v>210</v>
      </c>
      <c r="IG38" s="154"/>
      <c r="IH38" s="154"/>
      <c r="II38" s="154"/>
      <c r="IJ38" s="154"/>
      <c r="IK38" s="154"/>
      <c r="IL38" s="154"/>
      <c r="IM38" s="154"/>
      <c r="IN38" s="154"/>
      <c r="IO38" s="154"/>
      <c r="IP38" s="298" t="s">
        <v>211</v>
      </c>
      <c r="IQ38" s="154"/>
      <c r="IR38" s="154"/>
      <c r="IS38" s="154"/>
      <c r="IT38" s="154"/>
      <c r="IU38" s="154"/>
      <c r="IV38" s="154"/>
      <c r="IW38" s="154"/>
      <c r="IX38" s="154"/>
      <c r="IY38" s="154"/>
      <c r="IZ38" s="154"/>
      <c r="JA38" s="154"/>
      <c r="JB38" s="154"/>
      <c r="JC38" s="154"/>
      <c r="JD38" s="154"/>
      <c r="JE38" s="155"/>
    </row>
    <row r="39" spans="1:282" ht="18.75" thickBot="1">
      <c r="A39" s="293" t="s">
        <v>184</v>
      </c>
      <c r="B39" s="258"/>
      <c r="C39" s="257" t="s">
        <v>185</v>
      </c>
      <c r="D39" s="258"/>
      <c r="E39" s="257" t="s">
        <v>179</v>
      </c>
      <c r="F39" s="267"/>
      <c r="G39" s="257" t="s">
        <v>223</v>
      </c>
      <c r="H39" s="267"/>
      <c r="I39" s="276" t="s">
        <v>237</v>
      </c>
      <c r="J39" s="277"/>
      <c r="K39" s="275" t="s">
        <v>186</v>
      </c>
      <c r="L39" s="261"/>
      <c r="M39" s="269" t="s">
        <v>281</v>
      </c>
      <c r="N39" s="269"/>
      <c r="O39" s="270" t="s">
        <v>283</v>
      </c>
      <c r="P39" s="269"/>
      <c r="Q39" s="270" t="s">
        <v>282</v>
      </c>
      <c r="R39" s="271"/>
      <c r="S39" s="270" t="s">
        <v>284</v>
      </c>
      <c r="T39" s="269"/>
      <c r="U39" s="269"/>
      <c r="V39" s="259" t="s">
        <v>180</v>
      </c>
      <c r="W39" s="261"/>
      <c r="X39" s="257" t="s">
        <v>285</v>
      </c>
      <c r="Y39" s="267"/>
      <c r="Z39" s="257" t="s">
        <v>286</v>
      </c>
      <c r="AA39" s="267"/>
      <c r="AB39" s="276" t="s">
        <v>287</v>
      </c>
      <c r="AC39" s="277"/>
      <c r="AD39" s="276" t="s">
        <v>288</v>
      </c>
      <c r="AE39" s="277"/>
      <c r="AF39" s="287" t="s">
        <v>238</v>
      </c>
      <c r="AG39" s="292"/>
      <c r="AH39" s="288"/>
      <c r="AI39" s="259" t="s">
        <v>224</v>
      </c>
      <c r="AJ39" s="263"/>
      <c r="AK39" s="261"/>
      <c r="AL39" s="257" t="s">
        <v>239</v>
      </c>
      <c r="AM39" s="258"/>
      <c r="AN39" s="266"/>
      <c r="AO39" s="291" t="s">
        <v>187</v>
      </c>
      <c r="AP39" s="258"/>
      <c r="AQ39" s="257" t="s">
        <v>188</v>
      </c>
      <c r="AR39" s="258"/>
      <c r="AS39" s="257" t="s">
        <v>189</v>
      </c>
      <c r="AT39" s="258"/>
      <c r="AU39" s="257" t="s">
        <v>289</v>
      </c>
      <c r="AV39" s="258"/>
      <c r="AW39" s="257" t="s">
        <v>190</v>
      </c>
      <c r="AX39" s="258"/>
      <c r="AY39" s="257" t="s">
        <v>191</v>
      </c>
      <c r="AZ39" s="258"/>
      <c r="BA39" s="257" t="s">
        <v>303</v>
      </c>
      <c r="BB39" s="258"/>
      <c r="BC39" s="257" t="s">
        <v>296</v>
      </c>
      <c r="BD39" s="267"/>
      <c r="BE39" s="257" t="s">
        <v>227</v>
      </c>
      <c r="BF39" s="258"/>
      <c r="BG39" s="272" t="s">
        <v>225</v>
      </c>
      <c r="BH39" s="273"/>
      <c r="BI39" s="274"/>
      <c r="BJ39" s="272" t="s">
        <v>290</v>
      </c>
      <c r="BK39" s="273"/>
      <c r="BL39" s="273"/>
      <c r="BM39" s="272" t="s">
        <v>291</v>
      </c>
      <c r="BN39" s="273"/>
      <c r="BO39" s="274"/>
      <c r="BP39" s="258" t="s">
        <v>292</v>
      </c>
      <c r="BQ39" s="258"/>
      <c r="BR39" s="257" t="s">
        <v>293</v>
      </c>
      <c r="BS39" s="267"/>
      <c r="BT39" s="258" t="s">
        <v>226</v>
      </c>
      <c r="BU39" s="267"/>
      <c r="BV39" s="272" t="s">
        <v>294</v>
      </c>
      <c r="BW39" s="274"/>
      <c r="BX39" s="276" t="s">
        <v>295</v>
      </c>
      <c r="BY39" s="277"/>
      <c r="BZ39" s="290" t="s">
        <v>297</v>
      </c>
      <c r="CA39" s="290"/>
      <c r="CB39" s="290" t="s">
        <v>298</v>
      </c>
      <c r="CC39" s="290"/>
      <c r="CD39" s="276" t="s">
        <v>321</v>
      </c>
      <c r="CE39" s="289"/>
      <c r="CF39" s="49" t="s">
        <v>335</v>
      </c>
      <c r="CG39" s="44" t="s">
        <v>82</v>
      </c>
      <c r="CH39" s="276" t="s">
        <v>83</v>
      </c>
      <c r="CI39" s="283"/>
      <c r="CJ39" s="112" t="s">
        <v>84</v>
      </c>
      <c r="CK39" s="44" t="s">
        <v>66</v>
      </c>
      <c r="CL39" s="276" t="s">
        <v>123</v>
      </c>
      <c r="CM39" s="283"/>
      <c r="CN39" s="276" t="s">
        <v>81</v>
      </c>
      <c r="CO39" s="283"/>
      <c r="CP39" s="276" t="s">
        <v>80</v>
      </c>
      <c r="CQ39" s="283"/>
      <c r="CR39" s="276" t="s">
        <v>322</v>
      </c>
      <c r="CS39" s="289"/>
      <c r="CT39" s="50" t="s">
        <v>337</v>
      </c>
      <c r="CU39" s="44" t="s">
        <v>86</v>
      </c>
      <c r="CV39" s="276" t="s">
        <v>87</v>
      </c>
      <c r="CW39" s="283"/>
      <c r="CX39" s="112" t="s">
        <v>88</v>
      </c>
      <c r="CY39" s="44" t="s">
        <v>66</v>
      </c>
      <c r="CZ39" s="276" t="s">
        <v>249</v>
      </c>
      <c r="DA39" s="283"/>
      <c r="DB39" s="276" t="s">
        <v>250</v>
      </c>
      <c r="DC39" s="283"/>
      <c r="DD39" s="276" t="s">
        <v>304</v>
      </c>
      <c r="DE39" s="283"/>
      <c r="DF39" s="276" t="s">
        <v>79</v>
      </c>
      <c r="DG39" s="283"/>
      <c r="DH39" s="276" t="s">
        <v>305</v>
      </c>
      <c r="DI39" s="277"/>
      <c r="DJ39" s="276" t="s">
        <v>306</v>
      </c>
      <c r="DK39" s="283"/>
      <c r="DL39" s="276" t="s">
        <v>306</v>
      </c>
      <c r="DM39" s="283"/>
      <c r="DN39" s="276" t="s">
        <v>319</v>
      </c>
      <c r="DO39" s="289"/>
      <c r="DP39" s="278" t="s">
        <v>277</v>
      </c>
      <c r="DQ39" s="279"/>
      <c r="DR39" s="280" t="s">
        <v>278</v>
      </c>
      <c r="DS39" s="284"/>
      <c r="DT39" s="49" t="s">
        <v>336</v>
      </c>
      <c r="DU39" s="44" t="s">
        <v>253</v>
      </c>
      <c r="DV39" s="285" t="s">
        <v>83</v>
      </c>
      <c r="DW39" s="286"/>
      <c r="DX39" s="112" t="s">
        <v>66</v>
      </c>
      <c r="DY39" s="44" t="s">
        <v>66</v>
      </c>
      <c r="DZ39" s="276" t="s">
        <v>254</v>
      </c>
      <c r="EA39" s="283"/>
      <c r="EB39" s="276" t="s">
        <v>325</v>
      </c>
      <c r="EC39" s="283"/>
      <c r="ED39" s="277" t="s">
        <v>256</v>
      </c>
      <c r="EE39" s="277"/>
      <c r="EF39" s="276" t="s">
        <v>324</v>
      </c>
      <c r="EG39" s="277"/>
      <c r="EH39" s="49" t="s">
        <v>337</v>
      </c>
      <c r="EI39" s="44" t="s">
        <v>255</v>
      </c>
      <c r="EJ39" s="276" t="s">
        <v>87</v>
      </c>
      <c r="EK39" s="283"/>
      <c r="EL39" s="112" t="s">
        <v>66</v>
      </c>
      <c r="EM39" s="44" t="s">
        <v>66</v>
      </c>
      <c r="EN39" s="276" t="s">
        <v>258</v>
      </c>
      <c r="EO39" s="283"/>
      <c r="EP39" s="276" t="s">
        <v>257</v>
      </c>
      <c r="EQ39" s="283"/>
      <c r="ER39" s="276" t="s">
        <v>326</v>
      </c>
      <c r="ES39" s="283"/>
      <c r="ET39" s="277" t="s">
        <v>259</v>
      </c>
      <c r="EU39" s="277"/>
      <c r="EV39" s="276" t="s">
        <v>327</v>
      </c>
      <c r="EW39" s="277"/>
      <c r="EX39" s="278" t="s">
        <v>279</v>
      </c>
      <c r="EY39" s="279"/>
      <c r="EZ39" s="280" t="s">
        <v>280</v>
      </c>
      <c r="FA39" s="281"/>
      <c r="FB39" s="282" t="s">
        <v>67</v>
      </c>
      <c r="FC39" s="277"/>
      <c r="FD39" s="275" t="s">
        <v>198</v>
      </c>
      <c r="FE39" s="263"/>
      <c r="FF39" s="261"/>
      <c r="FG39" s="257" t="s">
        <v>199</v>
      </c>
      <c r="FH39" s="258"/>
      <c r="FI39" s="267"/>
      <c r="FJ39" s="258" t="s">
        <v>200</v>
      </c>
      <c r="FK39" s="258"/>
      <c r="FL39" s="258"/>
      <c r="FM39" s="257" t="s">
        <v>168</v>
      </c>
      <c r="FN39" s="258"/>
      <c r="FO39" s="258"/>
      <c r="FP39" s="257" t="s">
        <v>169</v>
      </c>
      <c r="FQ39" s="258"/>
      <c r="FR39" s="258"/>
      <c r="FS39" s="257" t="s">
        <v>241</v>
      </c>
      <c r="FT39" s="258"/>
      <c r="FU39" s="258"/>
      <c r="FV39" s="275" t="s">
        <v>156</v>
      </c>
      <c r="FW39" s="261"/>
      <c r="FX39" s="270" t="s">
        <v>73</v>
      </c>
      <c r="FY39" s="269"/>
      <c r="FZ39" s="269"/>
      <c r="GA39" s="259" t="s">
        <v>242</v>
      </c>
      <c r="GB39" s="263"/>
      <c r="GC39" s="264"/>
      <c r="GD39" s="273" t="s">
        <v>201</v>
      </c>
      <c r="GE39" s="273"/>
      <c r="GF39" s="274"/>
      <c r="GG39" s="272" t="s">
        <v>202</v>
      </c>
      <c r="GH39" s="273"/>
      <c r="GI39" s="273"/>
      <c r="GJ39" s="272" t="s">
        <v>203</v>
      </c>
      <c r="GK39" s="273"/>
      <c r="GL39" s="273"/>
      <c r="GM39" s="257" t="s">
        <v>170</v>
      </c>
      <c r="GN39" s="267"/>
      <c r="GO39" s="258" t="s">
        <v>171</v>
      </c>
      <c r="GP39" s="267"/>
      <c r="GQ39" s="257" t="s">
        <v>243</v>
      </c>
      <c r="GR39" s="258"/>
      <c r="GS39" s="258"/>
      <c r="GT39" s="268" t="s">
        <v>204</v>
      </c>
      <c r="GU39" s="269"/>
      <c r="GV39" s="271"/>
      <c r="GW39" s="272" t="s">
        <v>205</v>
      </c>
      <c r="GX39" s="273"/>
      <c r="GY39" s="274"/>
      <c r="GZ39" s="272" t="s">
        <v>206</v>
      </c>
      <c r="HA39" s="273"/>
      <c r="HB39" s="273"/>
      <c r="HC39" s="257" t="s">
        <v>172</v>
      </c>
      <c r="HD39" s="267"/>
      <c r="HE39" s="257" t="s">
        <v>173</v>
      </c>
      <c r="HF39" s="267"/>
      <c r="HG39" s="257" t="s">
        <v>244</v>
      </c>
      <c r="HH39" s="258"/>
      <c r="HI39" s="258"/>
      <c r="HJ39" s="268" t="s">
        <v>207</v>
      </c>
      <c r="HK39" s="269"/>
      <c r="HL39" s="269"/>
      <c r="HM39" s="270" t="s">
        <v>208</v>
      </c>
      <c r="HN39" s="269"/>
      <c r="HO39" s="269"/>
      <c r="HP39" s="270" t="s">
        <v>209</v>
      </c>
      <c r="HQ39" s="269"/>
      <c r="HR39" s="269"/>
      <c r="HS39" s="259" t="s">
        <v>174</v>
      </c>
      <c r="HT39" s="261"/>
      <c r="HU39" s="259" t="s">
        <v>175</v>
      </c>
      <c r="HV39" s="261"/>
      <c r="HW39" s="259" t="s">
        <v>245</v>
      </c>
      <c r="HX39" s="263"/>
      <c r="HY39" s="264"/>
      <c r="HZ39" s="265" t="s">
        <v>176</v>
      </c>
      <c r="IA39" s="258"/>
      <c r="IB39" s="258"/>
      <c r="IC39" s="257" t="s">
        <v>246</v>
      </c>
      <c r="ID39" s="258"/>
      <c r="IE39" s="266"/>
      <c r="IF39" s="258" t="s">
        <v>212</v>
      </c>
      <c r="IG39" s="258"/>
      <c r="IH39" s="257" t="s">
        <v>213</v>
      </c>
      <c r="II39" s="267"/>
      <c r="IJ39" s="258" t="s">
        <v>217</v>
      </c>
      <c r="IK39" s="258"/>
      <c r="IL39" s="257" t="s">
        <v>218</v>
      </c>
      <c r="IM39" s="258"/>
      <c r="IN39" s="259" t="s">
        <v>247</v>
      </c>
      <c r="IO39" s="260"/>
      <c r="IP39" s="259" t="s">
        <v>214</v>
      </c>
      <c r="IQ39" s="261"/>
      <c r="IR39" s="255" t="s">
        <v>215</v>
      </c>
      <c r="IS39" s="255"/>
      <c r="IT39" s="262" t="s">
        <v>216</v>
      </c>
      <c r="IU39" s="261"/>
      <c r="IV39" s="255" t="s">
        <v>219</v>
      </c>
      <c r="IW39" s="255"/>
      <c r="IX39" s="255" t="s">
        <v>220</v>
      </c>
      <c r="IY39" s="255"/>
      <c r="IZ39" s="255" t="s">
        <v>221</v>
      </c>
      <c r="JA39" s="255"/>
      <c r="JB39" s="255" t="s">
        <v>222</v>
      </c>
      <c r="JC39" s="255"/>
      <c r="JD39" s="255" t="s">
        <v>248</v>
      </c>
      <c r="JE39" s="256"/>
    </row>
    <row r="40" spans="1:282" ht="15.75" thickBot="1">
      <c r="A40" s="188">
        <f>AQ26</f>
        <v>37.386806122275068</v>
      </c>
      <c r="B40" s="188"/>
      <c r="C40" s="247">
        <f>IF(DB26&gt;DG26,(DG26-AA26),(DB26-AA26))</f>
        <v>2.8332935095476319</v>
      </c>
      <c r="D40" s="188"/>
      <c r="E40" s="251">
        <f>A40*C40</f>
        <v>105.92779512895763</v>
      </c>
      <c r="F40" s="254"/>
      <c r="G40" s="247">
        <f>IF(DB26&gt;DG26,(((DJ26-AA26)/2)+(AA26-CM26)),(((DB26-AA26)/2)+(AA26-CM26)))</f>
        <v>7.0666467547738163</v>
      </c>
      <c r="H40" s="250"/>
      <c r="I40" s="226">
        <f>E40*G40</f>
        <v>748.55430968839403</v>
      </c>
      <c r="J40" s="221"/>
      <c r="K40" s="228">
        <f>AX26</f>
        <v>17.939088101331102</v>
      </c>
      <c r="L40" s="225"/>
      <c r="M40" s="169">
        <f>(AA26-CM26)</f>
        <v>5.65</v>
      </c>
      <c r="N40" s="169"/>
      <c r="O40" s="168">
        <f>(CM26-BY26)</f>
        <v>0.25</v>
      </c>
      <c r="P40" s="169"/>
      <c r="Q40" s="226">
        <f>K40*M40</f>
        <v>101.35584777252073</v>
      </c>
      <c r="R40" s="142"/>
      <c r="S40" s="226">
        <f>K40*O40</f>
        <v>4.4847720253327754</v>
      </c>
      <c r="T40" s="221"/>
      <c r="U40" s="221"/>
      <c r="V40" s="251">
        <f>Q40+S40</f>
        <v>105.84061979785351</v>
      </c>
      <c r="W40" s="254"/>
      <c r="X40" s="247">
        <f>(AA26-CM26)/2</f>
        <v>2.8250000000000002</v>
      </c>
      <c r="Y40" s="250"/>
      <c r="Z40" s="247">
        <f>(CM26-BY26)/2</f>
        <v>0.125</v>
      </c>
      <c r="AA40" s="250"/>
      <c r="AB40" s="251">
        <f>Q40*X40</f>
        <v>286.33026995737112</v>
      </c>
      <c r="AC40" s="252"/>
      <c r="AD40" s="251">
        <f>S40*Z40</f>
        <v>0.56059650316659693</v>
      </c>
      <c r="AE40" s="252"/>
      <c r="AF40" s="226">
        <f>AB40-AD40</f>
        <v>285.76967345420451</v>
      </c>
      <c r="AG40" s="221"/>
      <c r="AH40" s="142"/>
      <c r="AI40" s="226">
        <f>E40+V40</f>
        <v>211.76841492681115</v>
      </c>
      <c r="AJ40" s="221"/>
      <c r="AK40" s="142"/>
      <c r="AL40" s="251">
        <f>I40+AF40</f>
        <v>1034.3239831425985</v>
      </c>
      <c r="AM40" s="252"/>
      <c r="AN40" s="253"/>
      <c r="AO40" s="249">
        <f>BH29</f>
        <v>0</v>
      </c>
      <c r="AP40" s="169"/>
      <c r="AQ40" s="168">
        <f>IF(DB26&gt;DG26,BH30,0)</f>
        <v>0</v>
      </c>
      <c r="AR40" s="169"/>
      <c r="AS40" s="168">
        <f>BH27</f>
        <v>26.79699168872137</v>
      </c>
      <c r="AT40" s="169"/>
      <c r="AU40" s="168">
        <f>BH26</f>
        <v>27.586690632255575</v>
      </c>
      <c r="AV40" s="169"/>
      <c r="AW40" s="247">
        <f>IF(DB26&gt;DG26,(DB26-DJ26),0)</f>
        <v>0</v>
      </c>
      <c r="AX40" s="188"/>
      <c r="AY40" s="247">
        <f>IF(DB26&gt;DJ26,(DJ26-CM26),(DB26-CM26))</f>
        <v>8.4832935095476323</v>
      </c>
      <c r="AZ40" s="188"/>
      <c r="BA40" s="247">
        <f>CM26-BY26</f>
        <v>0.25</v>
      </c>
      <c r="BB40" s="188"/>
      <c r="BC40" s="168">
        <f>IF(DG26&gt;DB26,((AQ40-AO40)*AW40)/2,0)</f>
        <v>0</v>
      </c>
      <c r="BD40" s="225"/>
      <c r="BE40" s="248">
        <f>AQ40*AY40</f>
        <v>0</v>
      </c>
      <c r="BF40" s="235"/>
      <c r="BG40" s="168">
        <f>SUM(BE40:BF41)</f>
        <v>113.66337283416593</v>
      </c>
      <c r="BH40" s="169"/>
      <c r="BI40" s="169"/>
      <c r="BJ40" s="236">
        <f>AQ40*BA40</f>
        <v>0</v>
      </c>
      <c r="BK40" s="236"/>
      <c r="BL40" s="236"/>
      <c r="BM40" s="169">
        <f>SUM(BJ40:BL42)</f>
        <v>6.7979602901221181</v>
      </c>
      <c r="BN40" s="169"/>
      <c r="BO40" s="225"/>
      <c r="BP40" s="226">
        <f>BC40+BG40+BM40</f>
        <v>120.46133312428805</v>
      </c>
      <c r="BQ40" s="142"/>
      <c r="BR40" s="168">
        <f>IF(DB26&gt;DG26,((DB26-DG26)*(1/3))+(DG26-CD26),0)</f>
        <v>0</v>
      </c>
      <c r="BS40" s="225"/>
      <c r="BT40" s="237">
        <f>IF(DB26&gt;DG26,(DJ26-CM26)*(1/2),0)</f>
        <v>0</v>
      </c>
      <c r="BU40" s="246"/>
      <c r="BV40" s="236">
        <f>(CD26-BY26)*(1/2)</f>
        <v>0.125</v>
      </c>
      <c r="BW40" s="236"/>
      <c r="BX40" s="226">
        <f>BR40*BC40</f>
        <v>0</v>
      </c>
      <c r="BY40" s="221"/>
      <c r="BZ40" s="242">
        <f>BT40*BE40</f>
        <v>0</v>
      </c>
      <c r="CA40" s="239"/>
      <c r="CB40" s="242">
        <f>BV40*BJ40</f>
        <v>0</v>
      </c>
      <c r="CC40" s="239"/>
      <c r="CD40" s="226">
        <f>BX40+(SUM(BZ40:CA41))-(SUM(CB40:CC42))</f>
        <v>320.55939296086132</v>
      </c>
      <c r="CE40" s="244"/>
      <c r="CF40" s="72"/>
      <c r="CG40" s="73">
        <f>(1-SIN(CF40*PI()/180))/(1+SIN(CF40*PI()/180))</f>
        <v>1</v>
      </c>
      <c r="CH40" s="231"/>
      <c r="CI40" s="232"/>
      <c r="CJ40" s="108">
        <f>CW26-EQ26</f>
        <v>4.0999999999999996</v>
      </c>
      <c r="CK40" s="34">
        <f>AA26-AA26</f>
        <v>0</v>
      </c>
      <c r="CL40" s="233">
        <f>(1/2)*CG40*CH40*(CK40^2)</f>
        <v>0</v>
      </c>
      <c r="CM40" s="245"/>
      <c r="CN40" s="168">
        <f>CL41</f>
        <v>0</v>
      </c>
      <c r="CO40" s="225"/>
      <c r="CP40" s="169">
        <f>((CW26-EQ26)*(1/3))+(ET26-CD26)</f>
        <v>2.916666666666667</v>
      </c>
      <c r="CQ40" s="169"/>
      <c r="CR40" s="226">
        <f>CP40*CN40</f>
        <v>0</v>
      </c>
      <c r="CS40" s="244"/>
      <c r="CT40" s="116">
        <v>40</v>
      </c>
      <c r="CU40" s="73">
        <f>(1-SIN(CT40*PI()/180))/(1+SIN(CT40*PI()/180))</f>
        <v>0.21744283205399909</v>
      </c>
      <c r="CV40" s="231">
        <v>18</v>
      </c>
      <c r="CW40" s="232"/>
      <c r="CX40" s="108">
        <f>(ET26-EZ26)</f>
        <v>1.8</v>
      </c>
      <c r="CY40" s="123">
        <v>0</v>
      </c>
      <c r="CZ40" s="233">
        <f>CU40*CH40*CJ40*(CY41-CY40)</f>
        <v>0</v>
      </c>
      <c r="DA40" s="245"/>
      <c r="DB40" s="234">
        <f>(1/2)*CU40*CV40*(CY40^2)</f>
        <v>0</v>
      </c>
      <c r="DC40" s="234"/>
      <c r="DD40" s="239">
        <f>(1/2)*CU40*CV40*(CY40^2)</f>
        <v>0</v>
      </c>
      <c r="DE40" s="240"/>
      <c r="DF40" s="168">
        <f>CZ41+CZ42+DB41+DB42+DD42</f>
        <v>6.340632982694614</v>
      </c>
      <c r="DG40" s="225"/>
      <c r="DH40" s="235">
        <f>((ET26-CM26)*(1/2))</f>
        <v>0.77500000000000036</v>
      </c>
      <c r="DI40" s="235"/>
      <c r="DJ40" s="248">
        <f>((ET26-CD26)*(1/3))</f>
        <v>0.51666666666666683</v>
      </c>
      <c r="DK40" s="235"/>
      <c r="DL40" s="168">
        <f>((CM26-BY26)*(2/3))</f>
        <v>0.16666666666666666</v>
      </c>
      <c r="DM40" s="169"/>
      <c r="DN40" s="168">
        <f>(DH40*CZ41)-(CZ42*DH41)+(DJ40*DB41)-(DJ41*DB42)-(DD42*DL40)</f>
        <v>2.2192215439431178</v>
      </c>
      <c r="DO40" s="238"/>
      <c r="DP40" s="173">
        <f>CN40+DF40</f>
        <v>6.340632982694614</v>
      </c>
      <c r="DQ40" s="174"/>
      <c r="DR40" s="172">
        <f>CR40+DN40</f>
        <v>2.2192215439431178</v>
      </c>
      <c r="DS40" s="171"/>
      <c r="DT40" s="72">
        <v>40</v>
      </c>
      <c r="DU40" s="73">
        <f>(1+SIN(DT40*PI()/180))/(1-SIN(DT40*PI()/180))</f>
        <v>4.5989099321133891</v>
      </c>
      <c r="DV40" s="231">
        <v>18</v>
      </c>
      <c r="DW40" s="232"/>
      <c r="DX40" s="108">
        <f>(FJ26-CM26)</f>
        <v>1.35</v>
      </c>
      <c r="DY40" s="34">
        <v>0</v>
      </c>
      <c r="DZ40" s="233">
        <f>(1/2)*DU40*DV40*(DY40^2)</f>
        <v>0</v>
      </c>
      <c r="EA40" s="234"/>
      <c r="EB40" s="226">
        <f>DZ41</f>
        <v>75.43362016148987</v>
      </c>
      <c r="EC40" s="142"/>
      <c r="ED40" s="169">
        <f>(FJ26-CM26)*(1/3)</f>
        <v>0.45</v>
      </c>
      <c r="EE40" s="169"/>
      <c r="EF40" s="226">
        <f>ED40*EB40</f>
        <v>33.94512907267044</v>
      </c>
      <c r="EG40" s="221"/>
      <c r="EH40" s="72">
        <v>40</v>
      </c>
      <c r="EI40" s="73">
        <f>(1+SIN(EH40*PI()/180))/(1-SIN(EH40*PI()/180))</f>
        <v>4.5989099321133891</v>
      </c>
      <c r="EJ40" s="231">
        <v>18</v>
      </c>
      <c r="EK40" s="232"/>
      <c r="EL40" s="108">
        <f>(FS26-BY26)</f>
        <v>0.25</v>
      </c>
      <c r="EM40" s="34">
        <v>0</v>
      </c>
      <c r="EN40" s="233">
        <f>EI40*DV40*DX40*EL40</f>
        <v>27.938377837588838</v>
      </c>
      <c r="EO40" s="234"/>
      <c r="EP40" s="233">
        <f>(1/2)*EI40*EJ40*(EM40^2)</f>
        <v>0</v>
      </c>
      <c r="EQ40" s="234"/>
      <c r="ER40" s="168">
        <f>EN41+EP41</f>
        <v>30.525264674402621</v>
      </c>
      <c r="ES40" s="225"/>
      <c r="ET40" s="235">
        <f>(CD26-BY26)/2</f>
        <v>0.125</v>
      </c>
      <c r="EU40" s="235"/>
      <c r="EV40" s="168">
        <f>(ET40*EN41)+(EP41*ET41)</f>
        <v>3.9234450358342352</v>
      </c>
      <c r="EW40" s="169"/>
      <c r="EX40" s="170">
        <f>EB40+ER40</f>
        <v>105.95888483589249</v>
      </c>
      <c r="EY40" s="171"/>
      <c r="EZ40" s="172">
        <f>EF40-EV40</f>
        <v>30.021684036836206</v>
      </c>
      <c r="FA40" s="171"/>
      <c r="FB40" s="229">
        <v>25</v>
      </c>
      <c r="FC40" s="230"/>
      <c r="FD40" s="228">
        <f>(MIN(CG26:CL26)*CB26)*FB40</f>
        <v>12.5</v>
      </c>
      <c r="FE40" s="169"/>
      <c r="FF40" s="225"/>
      <c r="FG40" s="168">
        <f>(((MAX(CG26:CL26)-MIN(CG26:CL26))*CB26)/2)*FB40</f>
        <v>1.5625</v>
      </c>
      <c r="FH40" s="169"/>
      <c r="FI40" s="225"/>
      <c r="FJ40" s="221">
        <f>FD40+FG40</f>
        <v>14.0625</v>
      </c>
      <c r="FK40" s="221"/>
      <c r="FL40" s="221"/>
      <c r="FM40" s="168">
        <f>CO26-(MIN(CG26:CL26)/2)</f>
        <v>5.5</v>
      </c>
      <c r="FN40" s="169"/>
      <c r="FO40" s="169"/>
      <c r="FP40" s="168">
        <f>CO26-(MIN(CG26:CL26)+((MAX(CG26:CL26)-MIN(CG26:CL26))*(1/3)))</f>
        <v>4.3333333333333339</v>
      </c>
      <c r="FQ40" s="169"/>
      <c r="FR40" s="225"/>
      <c r="FS40" s="221">
        <f>(FD40*FM40)+(FP40*FG40)</f>
        <v>75.520833333333329</v>
      </c>
      <c r="FT40" s="221"/>
      <c r="FU40" s="221"/>
      <c r="FV40" s="228">
        <f>((CS26-CM26)*CO26)*FB40</f>
        <v>219.375</v>
      </c>
      <c r="FW40" s="225"/>
      <c r="FX40" s="168">
        <f>CO26/2</f>
        <v>3.25</v>
      </c>
      <c r="FY40" s="169"/>
      <c r="FZ40" s="225"/>
      <c r="GA40" s="226">
        <f>FV40*FX40</f>
        <v>712.96875</v>
      </c>
      <c r="GB40" s="221"/>
      <c r="GC40" s="227"/>
      <c r="GD40" s="169">
        <f>(MIN(DP26:DS26)*DL26)*FB40</f>
        <v>86.25</v>
      </c>
      <c r="GE40" s="169"/>
      <c r="GF40" s="225"/>
      <c r="GG40" s="168">
        <f>(((MAX(DP26:DS26)-MIN(DP26:DS26))*DL26)/2)*FB40</f>
        <v>5.6250000000000053</v>
      </c>
      <c r="GH40" s="169"/>
      <c r="GI40" s="169"/>
      <c r="GJ40" s="226">
        <f>GD40+GG40</f>
        <v>91.875</v>
      </c>
      <c r="GK40" s="221"/>
      <c r="GL40" s="221"/>
      <c r="GM40" s="168">
        <f>CO26-(MIN(DP26:DS26)/2)</f>
        <v>5.35</v>
      </c>
      <c r="GN40" s="225"/>
      <c r="GO40" s="168">
        <f>CO26-(MIN(DP26:DS26)+((MAX(DP26:DS26)-MIN(DP26:DS26))*(1/3)))</f>
        <v>4.0999999999999996</v>
      </c>
      <c r="GP40" s="225"/>
      <c r="GQ40" s="218">
        <f>(GD40*GM40)+(GG40*GO40)</f>
        <v>484.49999999999994</v>
      </c>
      <c r="GR40" s="218"/>
      <c r="GS40" s="218"/>
      <c r="GT40" s="224">
        <f>(MIN(DZ26:EC26)*DV26)*FB40</f>
        <v>195</v>
      </c>
      <c r="GU40" s="223"/>
      <c r="GV40" s="216"/>
      <c r="GW40" s="211">
        <f>(((MAX(DZ26:EC26)-MIN(DZ26:EC26))*DV26)/2)*FB40</f>
        <v>7.5000000000000071</v>
      </c>
      <c r="GX40" s="223"/>
      <c r="GY40" s="216"/>
      <c r="GZ40" s="213">
        <f>GT40+GW40</f>
        <v>202.5</v>
      </c>
      <c r="HA40" s="218"/>
      <c r="HB40" s="218"/>
      <c r="HC40" s="168">
        <f>CO26-(MIN(DZ26:EC26)/2)</f>
        <v>4.55</v>
      </c>
      <c r="HD40" s="225"/>
      <c r="HE40" s="168">
        <f>CO26-(MIN(DZ26:EC26)+((MAX(DZ26:EC26)-MIN(DZ26:EC26))*(1/3)))</f>
        <v>2.5</v>
      </c>
      <c r="HF40" s="169"/>
      <c r="HG40" s="213">
        <f>(GT40*HC40)+(GW40*HE40)</f>
        <v>906</v>
      </c>
      <c r="HH40" s="218"/>
      <c r="HI40" s="218"/>
      <c r="HJ40" s="224">
        <f>(MIN(EJ26:EM26)*EF26)*FB40</f>
        <v>536.25</v>
      </c>
      <c r="HK40" s="223"/>
      <c r="HL40" s="223"/>
      <c r="HM40" s="211">
        <f>(((MAX(EJ26:EM26)-MIN(EJ26:EM26))*EF26)/2)*FB40</f>
        <v>0</v>
      </c>
      <c r="HN40" s="223"/>
      <c r="HO40" s="223"/>
      <c r="HP40" s="213">
        <f>HJ40+HM40</f>
        <v>536.25</v>
      </c>
      <c r="HQ40" s="218"/>
      <c r="HR40" s="218"/>
      <c r="HS40" s="168">
        <f>CO26-(MIN(EJ26:EM26)/2)</f>
        <v>3.75</v>
      </c>
      <c r="HT40" s="225"/>
      <c r="HU40" s="168">
        <f>CO26-(MIN(EJ26:EM26)+((MAX(EJ26:EM26)-MIN(EJ26:EM26))*(1/3)))</f>
        <v>1</v>
      </c>
      <c r="HV40" s="169"/>
      <c r="HW40" s="213">
        <f>(HJ40*HS40)+(HM40*HU40)</f>
        <v>2010.9375</v>
      </c>
      <c r="HX40" s="218"/>
      <c r="HY40" s="219"/>
      <c r="HZ40" s="220">
        <f>FJ40+FV40+GJ40+GZ40+HP40</f>
        <v>1064.0625</v>
      </c>
      <c r="IA40" s="221"/>
      <c r="IB40" s="221"/>
      <c r="IC40" s="213">
        <f>FS40+GA40+GQ40+HG40+HW40</f>
        <v>4189.927083333333</v>
      </c>
      <c r="ID40" s="218"/>
      <c r="IE40" s="222"/>
      <c r="IF40" s="223">
        <f>BI26</f>
        <v>17.939088101331098</v>
      </c>
      <c r="IG40" s="223"/>
      <c r="IH40" s="211">
        <f>BN26</f>
        <v>0</v>
      </c>
      <c r="II40" s="216"/>
      <c r="IJ40" s="223">
        <f>((IF40-IH40)*CO26)/2</f>
        <v>58.302036329326071</v>
      </c>
      <c r="IK40" s="223"/>
      <c r="IL40" s="211">
        <f>CO26*(2/3)</f>
        <v>4.333333333333333</v>
      </c>
      <c r="IM40" s="212"/>
      <c r="IN40" s="213">
        <f>IJ40*IL40</f>
        <v>252.64215742707964</v>
      </c>
      <c r="IO40" s="214"/>
      <c r="IP40" s="215">
        <f>BL26</f>
        <v>27.586690632255575</v>
      </c>
      <c r="IQ40" s="216"/>
      <c r="IR40" s="203">
        <f>BW26</f>
        <v>13.103678050321397</v>
      </c>
      <c r="IS40" s="217"/>
      <c r="IT40" s="215">
        <f>((IP40-IR40)*CO26)/2</f>
        <v>47.069790891286075</v>
      </c>
      <c r="IU40" s="216"/>
      <c r="IV40" s="203">
        <f>IR40*CO26</f>
        <v>85.173907327089083</v>
      </c>
      <c r="IW40" s="204"/>
      <c r="IX40" s="201">
        <f>IT40+IV40</f>
        <v>132.24369821837516</v>
      </c>
      <c r="IY40" s="202"/>
      <c r="IZ40" s="203">
        <f>CO26*(2/3)</f>
        <v>4.333333333333333</v>
      </c>
      <c r="JA40" s="204"/>
      <c r="JB40" s="203">
        <f>CO26/2</f>
        <v>3.25</v>
      </c>
      <c r="JC40" s="203"/>
      <c r="JD40" s="201">
        <f>(IT40*IZ40)+(IV40*JB40)</f>
        <v>480.78429267527918</v>
      </c>
      <c r="JE40" s="205"/>
    </row>
    <row r="41" spans="1:282" ht="15.75" thickBot="1">
      <c r="E41" s="63"/>
      <c r="G41" s="63"/>
      <c r="Q41" s="63"/>
      <c r="S41" s="63"/>
      <c r="V41" s="63"/>
      <c r="X41" s="63"/>
      <c r="AX41" s="64"/>
      <c r="AY41" s="64"/>
      <c r="BC41" s="63"/>
      <c r="BE41" s="164">
        <f>(((AS40-AQ40)*AY40)/2)</f>
        <v>113.66337283416593</v>
      </c>
      <c r="BF41" s="206"/>
      <c r="BG41" s="100"/>
      <c r="BH41" s="48"/>
      <c r="BJ41" s="207">
        <f>(AS40-AQ40)*BA40</f>
        <v>6.6992479221803425</v>
      </c>
      <c r="BK41" s="208"/>
      <c r="BL41" s="209"/>
      <c r="BP41" s="61"/>
      <c r="BQ41" s="46"/>
      <c r="BR41" s="63"/>
      <c r="BS41" s="46"/>
      <c r="BT41" s="164">
        <f>IF(DB26&gt;DG26,((DJ26-CM26)*(1/3)),((DB26-CM26)*(1/3)))</f>
        <v>2.8277645031825438</v>
      </c>
      <c r="BU41" s="206"/>
      <c r="BV41" s="210">
        <f>(CD26-BY26)*(1/2)</f>
        <v>0.125</v>
      </c>
      <c r="BW41" s="198"/>
      <c r="BX41" s="63"/>
      <c r="BY41" s="63"/>
      <c r="BZ41" s="156">
        <f>BT41*BE41</f>
        <v>321.41325101245747</v>
      </c>
      <c r="CA41" s="160"/>
      <c r="CB41" s="195">
        <f>BV41*BJ41</f>
        <v>0.83740599027254281</v>
      </c>
      <c r="CC41" s="196"/>
      <c r="CD41" s="63"/>
      <c r="CE41" s="63"/>
      <c r="CK41" s="127">
        <f>CW26-EQ26</f>
        <v>4.0999999999999996</v>
      </c>
      <c r="CL41" s="160">
        <f>(1/2)*CG40*CH40*(CK41^2)</f>
        <v>0</v>
      </c>
      <c r="CM41" s="163"/>
      <c r="CX41" s="6"/>
      <c r="CY41" s="107">
        <f>ET26-CD26</f>
        <v>1.5500000000000007</v>
      </c>
      <c r="CZ41" s="166">
        <f>CU40*CH40*CJ40*CY41</f>
        <v>0</v>
      </c>
      <c r="DA41" s="167"/>
      <c r="DB41" s="194">
        <f>(1/2)*CU40*CV40*(CY41^2)</f>
        <v>4.7016576360875995</v>
      </c>
      <c r="DC41" s="194"/>
      <c r="DD41" s="166">
        <f>(1/2)*CU40*CV40*(CY40^2)</f>
        <v>0</v>
      </c>
      <c r="DE41" s="466"/>
      <c r="DF41" s="106"/>
      <c r="DG41" s="43"/>
      <c r="DH41" s="164">
        <f>((CM26-BY26)*(1/2))</f>
        <v>0.125</v>
      </c>
      <c r="DI41" s="206"/>
      <c r="DJ41" s="192">
        <f>((CM26-BY26)*(1/2))</f>
        <v>0.125</v>
      </c>
      <c r="DK41" s="165"/>
      <c r="DP41" s="185" t="s">
        <v>178</v>
      </c>
      <c r="DQ41" s="185"/>
      <c r="DR41" s="185"/>
      <c r="DS41" s="185"/>
      <c r="DV41" s="124"/>
      <c r="DW41" s="124"/>
      <c r="DX41" s="124"/>
      <c r="DY41" s="127">
        <f>DX40</f>
        <v>1.35</v>
      </c>
      <c r="DZ41" s="160">
        <f>(1/2)*DU40*DV40*(DY41^2)</f>
        <v>75.43362016148987</v>
      </c>
      <c r="EA41" s="163"/>
      <c r="EB41" s="124"/>
      <c r="EC41" s="124"/>
      <c r="ED41" s="124"/>
      <c r="EE41" s="124"/>
      <c r="EF41" s="124"/>
      <c r="EG41" s="124"/>
      <c r="EH41" s="45"/>
      <c r="EI41" s="124"/>
      <c r="EJ41" s="124"/>
      <c r="EK41" s="124"/>
      <c r="EL41" s="124"/>
      <c r="EM41" s="127">
        <f>EL40</f>
        <v>0.25</v>
      </c>
      <c r="EN41" s="160">
        <f>EI40*DV40*DX40*EL40</f>
        <v>27.938377837588838</v>
      </c>
      <c r="EO41" s="162"/>
      <c r="EP41" s="160">
        <f>(1/2)*EI40*EJ40*(EM41^2)</f>
        <v>2.5868868368137812</v>
      </c>
      <c r="EQ41" s="163"/>
      <c r="ER41" s="124"/>
      <c r="ES41" s="124"/>
      <c r="ET41" s="164">
        <f>(CD26-BY26)*(2/3)</f>
        <v>0.16666666666666666</v>
      </c>
      <c r="EU41" s="165"/>
      <c r="EV41" s="124"/>
      <c r="EW41" s="124"/>
      <c r="EX41" s="185" t="s">
        <v>178</v>
      </c>
      <c r="EY41" s="185"/>
      <c r="EZ41" s="185"/>
      <c r="FA41" s="185"/>
      <c r="FJ41" s="61"/>
      <c r="FL41" s="61"/>
      <c r="GJ41" s="62"/>
      <c r="GZ41" s="61"/>
      <c r="HB41" s="6"/>
      <c r="HP41" s="62"/>
      <c r="IJ41" s="62"/>
      <c r="IT41" s="62"/>
      <c r="IV41" s="62"/>
      <c r="IX41" s="62"/>
    </row>
    <row r="42" spans="1:282" ht="15.75" thickBot="1">
      <c r="BE42" s="64"/>
      <c r="BF42" s="6"/>
      <c r="BJ42" s="187">
        <f>((AU40-AS40)*BA40)/2</f>
        <v>9.8712367941775625E-2</v>
      </c>
      <c r="BK42" s="188"/>
      <c r="BL42" s="189"/>
      <c r="BT42" s="63"/>
      <c r="BU42" s="46"/>
      <c r="BV42" s="158">
        <f>(CD26-BY26)*(2/3)</f>
        <v>0.16666666666666666</v>
      </c>
      <c r="BW42" s="159"/>
      <c r="CB42" s="190">
        <f>BV42*BJ42</f>
        <v>1.645206132362927E-2</v>
      </c>
      <c r="CC42" s="191"/>
      <c r="CY42" s="114">
        <f>CX40</f>
        <v>1.8</v>
      </c>
      <c r="CZ42" s="160">
        <f>CU40*CH40*CJ40*(CY42-CY41)</f>
        <v>0</v>
      </c>
      <c r="DA42" s="161"/>
      <c r="DB42" s="162">
        <f>CU40*CV40*CY41*(CY42-CY41)</f>
        <v>1.5166637535766403</v>
      </c>
      <c r="DC42" s="162"/>
      <c r="DD42" s="160">
        <f>(1/2)*CU40*CV40*(CY42-CY41)^2</f>
        <v>0.12231159303037384</v>
      </c>
      <c r="DE42" s="163"/>
      <c r="DP42" s="186"/>
      <c r="DQ42" s="186"/>
      <c r="DR42" s="186"/>
      <c r="DS42" s="186"/>
      <c r="EX42" s="186"/>
      <c r="EY42" s="186"/>
      <c r="EZ42" s="186"/>
      <c r="FA42" s="186"/>
    </row>
    <row r="43" spans="1:282">
      <c r="BE43" s="63"/>
      <c r="BJ43" s="64"/>
      <c r="BK43" s="6"/>
      <c r="BT43" s="63"/>
      <c r="BU43" s="48"/>
      <c r="BV43" s="63"/>
      <c r="BW43" s="46"/>
      <c r="CD43" s="6"/>
      <c r="FD43" s="6"/>
    </row>
    <row r="44" spans="1:282">
      <c r="BH44" s="6"/>
      <c r="BJ44" s="64"/>
      <c r="BK44" s="6"/>
      <c r="JV44" s="6"/>
    </row>
    <row r="45" spans="1:282">
      <c r="BJ45" s="63"/>
      <c r="IN45" s="6"/>
    </row>
    <row r="50" spans="1:42" ht="15.75" thickBot="1">
      <c r="F50" s="184" t="str">
        <f>IF(G54="Não verifica","Aumenta o peso da estrutura","")</f>
        <v/>
      </c>
      <c r="G50" s="184"/>
      <c r="H50" s="184"/>
      <c r="O50" s="184" t="str">
        <f>IF(P54="Não verifica","Aumenta o peso da estrutura","")</f>
        <v/>
      </c>
      <c r="P50" s="184"/>
      <c r="Q50" s="184"/>
      <c r="AA50" s="184" t="str">
        <f>IF(AB54="Não verifica","Aumenta o peso da estrutura","")</f>
        <v/>
      </c>
      <c r="AB50" s="184"/>
      <c r="AC50" s="184"/>
      <c r="AK50" s="184" t="str">
        <f>IF(AL54="Não verifica","Aumenta o peso da estrutura","")</f>
        <v/>
      </c>
      <c r="AL50" s="184"/>
      <c r="AM50" s="184"/>
    </row>
    <row r="51" spans="1:42" ht="16.5" thickBot="1">
      <c r="A51" s="138" t="s">
        <v>272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83" t="s">
        <v>273</v>
      </c>
      <c r="M51" s="139"/>
      <c r="N51" s="139"/>
      <c r="O51" s="139"/>
      <c r="P51" s="139"/>
      <c r="Q51" s="139"/>
      <c r="R51" s="139"/>
      <c r="S51" s="139"/>
      <c r="T51" s="139"/>
      <c r="U51" s="140"/>
      <c r="V51" s="138" t="s">
        <v>271</v>
      </c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83" t="s">
        <v>270</v>
      </c>
      <c r="AH51" s="139"/>
      <c r="AI51" s="139"/>
      <c r="AJ51" s="139"/>
      <c r="AK51" s="139"/>
      <c r="AL51" s="139"/>
      <c r="AM51" s="139"/>
      <c r="AN51" s="139"/>
      <c r="AO51" s="139"/>
      <c r="AP51" s="140"/>
    </row>
    <row r="52" spans="1:42" ht="15.75" customHeight="1" thickTop="1">
      <c r="A52" s="182" t="s">
        <v>314</v>
      </c>
      <c r="B52" s="179" t="s">
        <v>313</v>
      </c>
      <c r="C52" s="179" t="s">
        <v>315</v>
      </c>
      <c r="D52" s="147" t="s">
        <v>231</v>
      </c>
      <c r="E52" s="148"/>
      <c r="F52" s="147" t="s">
        <v>268</v>
      </c>
      <c r="G52" s="148"/>
      <c r="H52" s="149"/>
      <c r="I52" s="147" t="s">
        <v>7</v>
      </c>
      <c r="J52" s="148"/>
      <c r="K52" s="148"/>
      <c r="L52" s="180" t="s">
        <v>316</v>
      </c>
      <c r="M52" s="179" t="s">
        <v>317</v>
      </c>
      <c r="N52" s="147" t="s">
        <v>318</v>
      </c>
      <c r="O52" s="147" t="s">
        <v>269</v>
      </c>
      <c r="P52" s="148"/>
      <c r="Q52" s="149"/>
      <c r="R52" s="147" t="s">
        <v>7</v>
      </c>
      <c r="S52" s="148"/>
      <c r="T52" s="148"/>
      <c r="U52" s="181"/>
      <c r="V52" s="182" t="s">
        <v>314</v>
      </c>
      <c r="W52" s="179" t="s">
        <v>313</v>
      </c>
      <c r="X52" s="179" t="s">
        <v>315</v>
      </c>
      <c r="Y52" s="147" t="s">
        <v>231</v>
      </c>
      <c r="Z52" s="148"/>
      <c r="AA52" s="147" t="s">
        <v>268</v>
      </c>
      <c r="AB52" s="148"/>
      <c r="AC52" s="149"/>
      <c r="AD52" s="147" t="s">
        <v>7</v>
      </c>
      <c r="AE52" s="148"/>
      <c r="AF52" s="148"/>
      <c r="AG52" s="440" t="s">
        <v>316</v>
      </c>
      <c r="AH52" s="148"/>
      <c r="AI52" s="179" t="s">
        <v>317</v>
      </c>
      <c r="AJ52" s="147" t="s">
        <v>318</v>
      </c>
      <c r="AK52" s="147" t="s">
        <v>268</v>
      </c>
      <c r="AL52" s="148"/>
      <c r="AM52" s="149"/>
      <c r="AN52" s="150" t="s">
        <v>7</v>
      </c>
      <c r="AO52" s="151"/>
      <c r="AP52" s="152"/>
    </row>
    <row r="53" spans="1:42" ht="15.75" thickBot="1">
      <c r="A53" s="182"/>
      <c r="B53" s="179"/>
      <c r="C53" s="179"/>
      <c r="D53" s="147"/>
      <c r="E53" s="148"/>
      <c r="F53" s="147"/>
      <c r="G53" s="148"/>
      <c r="H53" s="149"/>
      <c r="I53" s="147"/>
      <c r="J53" s="148"/>
      <c r="K53" s="148"/>
      <c r="L53" s="180"/>
      <c r="M53" s="179"/>
      <c r="N53" s="147"/>
      <c r="O53" s="147"/>
      <c r="P53" s="148"/>
      <c r="Q53" s="149"/>
      <c r="R53" s="147"/>
      <c r="S53" s="148"/>
      <c r="T53" s="148"/>
      <c r="U53" s="181"/>
      <c r="V53" s="182"/>
      <c r="W53" s="179"/>
      <c r="X53" s="179"/>
      <c r="Y53" s="147"/>
      <c r="Z53" s="148"/>
      <c r="AA53" s="147"/>
      <c r="AB53" s="148"/>
      <c r="AC53" s="149"/>
      <c r="AD53" s="147"/>
      <c r="AE53" s="148"/>
      <c r="AF53" s="148"/>
      <c r="AG53" s="440"/>
      <c r="AH53" s="148"/>
      <c r="AI53" s="179"/>
      <c r="AJ53" s="147"/>
      <c r="AK53" s="147"/>
      <c r="AL53" s="148"/>
      <c r="AM53" s="149"/>
      <c r="AN53" s="153"/>
      <c r="AO53" s="154"/>
      <c r="AP53" s="155"/>
    </row>
    <row r="54" spans="1:42" ht="15.75" thickBot="1">
      <c r="A54" s="65">
        <f>AI40+DP40-EX40</f>
        <v>112.15016307361327</v>
      </c>
      <c r="B54" s="125">
        <f>HZ40</f>
        <v>1064.0625</v>
      </c>
      <c r="C54" s="125">
        <f>IJ40</f>
        <v>58.302036329326071</v>
      </c>
      <c r="D54" s="175">
        <v>0.8</v>
      </c>
      <c r="E54" s="175"/>
      <c r="F54" s="113">
        <f>((D54*(B54-C54))/A54)</f>
        <v>7.1743843155039313</v>
      </c>
      <c r="G54" s="176" t="str">
        <f>IF(F54&gt;=1.2,"Verifica","Não verifica")</f>
        <v>Verifica</v>
      </c>
      <c r="H54" s="142"/>
      <c r="I54" s="113">
        <f>(D54*(B54-C54))-A54</f>
        <v>692.45820786292597</v>
      </c>
      <c r="J54" s="177" t="str">
        <f>IF((D54*(B54-C54))&gt;=A54,"Verifica","Não verifica")</f>
        <v>Verifica</v>
      </c>
      <c r="K54" s="178"/>
      <c r="L54" s="66">
        <f>AL40+DR40-EZ40</f>
        <v>1006.5215206497055</v>
      </c>
      <c r="M54" s="125">
        <f>IC40</f>
        <v>4189.927083333333</v>
      </c>
      <c r="N54" s="125">
        <f>IN40</f>
        <v>252.64215742707964</v>
      </c>
      <c r="O54" s="113">
        <f>((M54-N54)/L54)</f>
        <v>3.9117742096212229</v>
      </c>
      <c r="P54" s="176" t="str">
        <f>IF(O54&gt;=1.4,"Verifica","Não verifica")</f>
        <v>Verifica</v>
      </c>
      <c r="Q54" s="142"/>
      <c r="R54" s="113">
        <f>M54-N54-L54</f>
        <v>2930.7634052565477</v>
      </c>
      <c r="S54" s="177" t="str">
        <f>IF(((M54-N54)&gt;=L54),"Verifica","Não verifica")</f>
        <v>Verifica</v>
      </c>
      <c r="T54" s="144"/>
      <c r="U54" s="146"/>
      <c r="V54" s="65">
        <f>BP40+DP40-EX40</f>
        <v>20.843081271090171</v>
      </c>
      <c r="W54" s="125">
        <f>HZ40</f>
        <v>1064.0625</v>
      </c>
      <c r="X54" s="125">
        <f>IX40</f>
        <v>132.24369821837516</v>
      </c>
      <c r="Y54" s="175">
        <v>0.8</v>
      </c>
      <c r="Z54" s="175"/>
      <c r="AA54" s="113">
        <f>((Y54*(W54-X54))/V54)</f>
        <v>35.765107458428567</v>
      </c>
      <c r="AB54" s="141" t="str">
        <f>IF(AA54&gt;=1.2,"Verifica","Não verifica")</f>
        <v>Verifica</v>
      </c>
      <c r="AC54" s="142"/>
      <c r="AD54" s="113">
        <f>(Y54*(W54-X54))-V54</f>
        <v>724.61196015420978</v>
      </c>
      <c r="AE54" s="143" t="str">
        <f>IF((Y54*(W54-X54))&gt;=V54,"Verifica","Não verifica")</f>
        <v>Verifica</v>
      </c>
      <c r="AF54" s="144"/>
      <c r="AG54" s="145">
        <f>CD40+DR40-EZ40</f>
        <v>292.75693046796823</v>
      </c>
      <c r="AH54" s="142"/>
      <c r="AI54" s="126">
        <f>IC40</f>
        <v>4189.927083333333</v>
      </c>
      <c r="AJ54" s="125">
        <f>JD40</f>
        <v>480.78429267527918</v>
      </c>
      <c r="AK54" s="113">
        <f>((AI54-AJ54)/AG54)</f>
        <v>12.669701054485836</v>
      </c>
      <c r="AL54" s="141" t="str">
        <f>IF(AK54&gt;=1.4,"Verifica","Não verifica")</f>
        <v>Verifica</v>
      </c>
      <c r="AM54" s="142"/>
      <c r="AN54" s="113">
        <f>AI54-AJ54-AG54</f>
        <v>3416.3858601900856</v>
      </c>
      <c r="AO54" s="143" t="str">
        <f>IF((AI54-AJ54)&gt;=AG54,"Verifica","Não verifica")</f>
        <v>Verifica</v>
      </c>
      <c r="AP54" s="146"/>
    </row>
    <row r="56" spans="1:42" ht="15" customHeight="1">
      <c r="L56" s="6"/>
      <c r="AN56" t="s">
        <v>2</v>
      </c>
    </row>
    <row r="58" spans="1:42">
      <c r="AC58" t="s">
        <v>2</v>
      </c>
    </row>
    <row r="60" spans="1:42">
      <c r="M60" t="s">
        <v>2</v>
      </c>
      <c r="Q60" t="s">
        <v>2</v>
      </c>
    </row>
  </sheetData>
  <mergeCells count="643">
    <mergeCell ref="BD16:BE16"/>
    <mergeCell ref="BD17:BE17"/>
    <mergeCell ref="BD18:BE18"/>
    <mergeCell ref="BI23:BX23"/>
    <mergeCell ref="A23:AG23"/>
    <mergeCell ref="F6:H6"/>
    <mergeCell ref="A4:C4"/>
    <mergeCell ref="K5:L5"/>
    <mergeCell ref="V5:W5"/>
    <mergeCell ref="AI5:AJ5"/>
    <mergeCell ref="AZ5:BA5"/>
    <mergeCell ref="AI52:AI53"/>
    <mergeCell ref="AJ52:AJ53"/>
    <mergeCell ref="AG52:AH53"/>
    <mergeCell ref="A8:H8"/>
    <mergeCell ref="A14:H18"/>
    <mergeCell ref="AV14:AV16"/>
    <mergeCell ref="AW14:AW16"/>
    <mergeCell ref="AX14:AX16"/>
    <mergeCell ref="AY14:AY16"/>
    <mergeCell ref="AZ14:AZ16"/>
    <mergeCell ref="A11:H13"/>
    <mergeCell ref="AV12:AZ12"/>
    <mergeCell ref="FF5:FG5"/>
    <mergeCell ref="FS5:FT5"/>
    <mergeCell ref="GI5:GJ5"/>
    <mergeCell ref="GY5:GZ5"/>
    <mergeCell ref="DI6:DK7"/>
    <mergeCell ref="DL6:DN7"/>
    <mergeCell ref="DO6:DP7"/>
    <mergeCell ref="DQ6:DR7"/>
    <mergeCell ref="BN5:BO5"/>
    <mergeCell ref="BY5:BZ5"/>
    <mergeCell ref="CI5:CL5"/>
    <mergeCell ref="DA5:DF5"/>
    <mergeCell ref="DI5:DY5"/>
    <mergeCell ref="EU5:EV5"/>
    <mergeCell ref="EP6:EQ7"/>
    <mergeCell ref="DA7:DE7"/>
    <mergeCell ref="EL6:EM7"/>
    <mergeCell ref="EN6:EO7"/>
    <mergeCell ref="DB8:DC8"/>
    <mergeCell ref="DD8:DE8"/>
    <mergeCell ref="DI8:DK8"/>
    <mergeCell ref="DL8:DN8"/>
    <mergeCell ref="DO8:DP8"/>
    <mergeCell ref="EE6:EF7"/>
    <mergeCell ref="EG6:EG7"/>
    <mergeCell ref="EH6:EI7"/>
    <mergeCell ref="EJ6:EK7"/>
    <mergeCell ref="DS6:DT7"/>
    <mergeCell ref="DU6:DV7"/>
    <mergeCell ref="DW6:DX7"/>
    <mergeCell ref="DY6:DZ7"/>
    <mergeCell ref="EA6:EB7"/>
    <mergeCell ref="EC6:ED7"/>
    <mergeCell ref="EP8:EQ8"/>
    <mergeCell ref="A9:H10"/>
    <mergeCell ref="DB9:DC9"/>
    <mergeCell ref="DD9:DE10"/>
    <mergeCell ref="DB10:DC10"/>
    <mergeCell ref="DI10:DK11"/>
    <mergeCell ref="DL10:DN11"/>
    <mergeCell ref="DO10:DP11"/>
    <mergeCell ref="DQ10:DR11"/>
    <mergeCell ref="DS10:DT11"/>
    <mergeCell ref="EC8:ED8"/>
    <mergeCell ref="EE8:EF8"/>
    <mergeCell ref="EH8:EI8"/>
    <mergeCell ref="EJ8:EK8"/>
    <mergeCell ref="EL8:EM8"/>
    <mergeCell ref="EN8:EO8"/>
    <mergeCell ref="DQ8:DR8"/>
    <mergeCell ref="DS8:DT8"/>
    <mergeCell ref="DU8:DV8"/>
    <mergeCell ref="DW8:DX8"/>
    <mergeCell ref="DY8:DZ8"/>
    <mergeCell ref="EA8:EB8"/>
    <mergeCell ref="EG10:EG11"/>
    <mergeCell ref="EH10:EI11"/>
    <mergeCell ref="EJ10:EK11"/>
    <mergeCell ref="EL10:EM11"/>
    <mergeCell ref="EN10:EO11"/>
    <mergeCell ref="EP10:EQ11"/>
    <mergeCell ref="DU10:DV11"/>
    <mergeCell ref="DW10:DX11"/>
    <mergeCell ref="DY10:DZ11"/>
    <mergeCell ref="EA10:EB11"/>
    <mergeCell ref="EC10:ED11"/>
    <mergeCell ref="EE10:EF11"/>
    <mergeCell ref="BC14:BC15"/>
    <mergeCell ref="BD14:BE15"/>
    <mergeCell ref="DB14:DC14"/>
    <mergeCell ref="DD14:DE15"/>
    <mergeCell ref="DI14:DK15"/>
    <mergeCell ref="DL14:DN15"/>
    <mergeCell ref="EA12:EB12"/>
    <mergeCell ref="EC12:ED12"/>
    <mergeCell ref="EE12:EF12"/>
    <mergeCell ref="DO12:DP12"/>
    <mergeCell ref="DQ12:DR12"/>
    <mergeCell ref="DS12:DT12"/>
    <mergeCell ref="DU12:DV12"/>
    <mergeCell ref="DW12:DX12"/>
    <mergeCell ref="DY12:DZ12"/>
    <mergeCell ref="BC12:BF12"/>
    <mergeCell ref="DB13:DC13"/>
    <mergeCell ref="DD13:DE13"/>
    <mergeCell ref="EH12:EI12"/>
    <mergeCell ref="EJ12:EK12"/>
    <mergeCell ref="EL12:EM12"/>
    <mergeCell ref="EN14:EO15"/>
    <mergeCell ref="EP14:EQ15"/>
    <mergeCell ref="DB15:DC15"/>
    <mergeCell ref="EH14:EI15"/>
    <mergeCell ref="EJ14:EK15"/>
    <mergeCell ref="DA12:DE12"/>
    <mergeCell ref="DI12:DK12"/>
    <mergeCell ref="DL12:DN12"/>
    <mergeCell ref="EG14:EG15"/>
    <mergeCell ref="DO14:DP15"/>
    <mergeCell ref="DQ14:DR15"/>
    <mergeCell ref="DS14:DT15"/>
    <mergeCell ref="DU14:DV15"/>
    <mergeCell ref="DW14:DX15"/>
    <mergeCell ref="DY14:DZ15"/>
    <mergeCell ref="EN12:EO12"/>
    <mergeCell ref="EP12:EQ12"/>
    <mergeCell ref="DA17:DE17"/>
    <mergeCell ref="DU16:DV16"/>
    <mergeCell ref="DW16:DX16"/>
    <mergeCell ref="DY16:DZ16"/>
    <mergeCell ref="EA16:EB16"/>
    <mergeCell ref="EC16:ED16"/>
    <mergeCell ref="EE16:EF16"/>
    <mergeCell ref="EL14:EM15"/>
    <mergeCell ref="DD18:DE18"/>
    <mergeCell ref="DI18:DK19"/>
    <mergeCell ref="DL18:DN19"/>
    <mergeCell ref="DO18:DP19"/>
    <mergeCell ref="EH16:EI16"/>
    <mergeCell ref="EJ16:EK16"/>
    <mergeCell ref="EL16:EM16"/>
    <mergeCell ref="DB18:DC18"/>
    <mergeCell ref="DI16:DK16"/>
    <mergeCell ref="DL16:DN16"/>
    <mergeCell ref="DO16:DP16"/>
    <mergeCell ref="DQ16:DR16"/>
    <mergeCell ref="DS16:DT16"/>
    <mergeCell ref="EA14:EB15"/>
    <mergeCell ref="EC14:ED15"/>
    <mergeCell ref="EE14:EF15"/>
    <mergeCell ref="EN16:EO16"/>
    <mergeCell ref="EP16:EQ16"/>
    <mergeCell ref="EN18:EO19"/>
    <mergeCell ref="EP18:EQ19"/>
    <mergeCell ref="DB19:DC19"/>
    <mergeCell ref="DD19:DE20"/>
    <mergeCell ref="AE20:AG22"/>
    <mergeCell ref="DB20:DC20"/>
    <mergeCell ref="DI20:DK20"/>
    <mergeCell ref="DL20:DN20"/>
    <mergeCell ref="DO20:DP20"/>
    <mergeCell ref="DQ20:DR20"/>
    <mergeCell ref="EC18:ED19"/>
    <mergeCell ref="EE18:EF19"/>
    <mergeCell ref="EG18:EG19"/>
    <mergeCell ref="EH18:EI19"/>
    <mergeCell ref="EJ18:EK19"/>
    <mergeCell ref="EL18:EM19"/>
    <mergeCell ref="DQ18:DR19"/>
    <mergeCell ref="DS18:DT19"/>
    <mergeCell ref="DU18:DV19"/>
    <mergeCell ref="DW18:DX19"/>
    <mergeCell ref="DY18:DZ19"/>
    <mergeCell ref="EA18:EB19"/>
    <mergeCell ref="BY23:FU23"/>
    <mergeCell ref="A24:A25"/>
    <mergeCell ref="B24:C25"/>
    <mergeCell ref="D24:E25"/>
    <mergeCell ref="F24:G25"/>
    <mergeCell ref="H24:J25"/>
    <mergeCell ref="EE20:EF20"/>
    <mergeCell ref="EH20:EI20"/>
    <mergeCell ref="EJ20:EK20"/>
    <mergeCell ref="EL20:EM20"/>
    <mergeCell ref="EN20:EO20"/>
    <mergeCell ref="EP20:EQ20"/>
    <mergeCell ref="DS20:DT20"/>
    <mergeCell ref="DU20:DV20"/>
    <mergeCell ref="DW20:DX20"/>
    <mergeCell ref="DY20:DZ20"/>
    <mergeCell ref="EA20:EB20"/>
    <mergeCell ref="EC20:ED20"/>
    <mergeCell ref="K24:L25"/>
    <mergeCell ref="M24:N25"/>
    <mergeCell ref="O24:P25"/>
    <mergeCell ref="Q24:R25"/>
    <mergeCell ref="S24:U24"/>
    <mergeCell ref="V24:V25"/>
    <mergeCell ref="AH23:AY23"/>
    <mergeCell ref="AZ23:BH23"/>
    <mergeCell ref="AE24:AG25"/>
    <mergeCell ref="AH24:AI25"/>
    <mergeCell ref="AJ24:AK24"/>
    <mergeCell ref="AL24:AL25"/>
    <mergeCell ref="AM24:AM25"/>
    <mergeCell ref="AN24:AN25"/>
    <mergeCell ref="W24:Y25"/>
    <mergeCell ref="Z24:Z25"/>
    <mergeCell ref="AA24:AA25"/>
    <mergeCell ref="AB24:AB25"/>
    <mergeCell ref="AC24:AC25"/>
    <mergeCell ref="AD24:AD25"/>
    <mergeCell ref="AW24:AW25"/>
    <mergeCell ref="AX24:AY25"/>
    <mergeCell ref="AZ24:AZ25"/>
    <mergeCell ref="BA24:BA25"/>
    <mergeCell ref="BB24:BD24"/>
    <mergeCell ref="BE24:BE25"/>
    <mergeCell ref="AO24:AO25"/>
    <mergeCell ref="AP24:AP25"/>
    <mergeCell ref="AQ24:AR25"/>
    <mergeCell ref="AS24:AS25"/>
    <mergeCell ref="AT24:AT25"/>
    <mergeCell ref="AU24:AV25"/>
    <mergeCell ref="CG24:CI25"/>
    <mergeCell ref="CJ24:CL25"/>
    <mergeCell ref="CM24:CN25"/>
    <mergeCell ref="CO24:CP25"/>
    <mergeCell ref="BF24:BF25"/>
    <mergeCell ref="BG24:BG25"/>
    <mergeCell ref="BH24:BH25"/>
    <mergeCell ref="BI24:BM24"/>
    <mergeCell ref="BN24:BX24"/>
    <mergeCell ref="BY24:CA25"/>
    <mergeCell ref="FS24:FU25"/>
    <mergeCell ref="BI25:BJ25"/>
    <mergeCell ref="BL25:BM25"/>
    <mergeCell ref="BN25:BO25"/>
    <mergeCell ref="BR25:BS25"/>
    <mergeCell ref="BT25:BV25"/>
    <mergeCell ref="BW25:BX25"/>
    <mergeCell ref="EQ24:ES25"/>
    <mergeCell ref="ET24:EV25"/>
    <mergeCell ref="EW24:EY25"/>
    <mergeCell ref="EZ24:FB25"/>
    <mergeCell ref="FC24:FE25"/>
    <mergeCell ref="FF24:FI25"/>
    <mergeCell ref="ED24:EE25"/>
    <mergeCell ref="EF24:EG25"/>
    <mergeCell ref="EH24:EI25"/>
    <mergeCell ref="EJ24:EK25"/>
    <mergeCell ref="EL24:EM25"/>
    <mergeCell ref="EN24:EP25"/>
    <mergeCell ref="DR24:DS25"/>
    <mergeCell ref="DT24:DU25"/>
    <mergeCell ref="DV24:DW25"/>
    <mergeCell ref="DX24:DY25"/>
    <mergeCell ref="DZ24:EA25"/>
    <mergeCell ref="B26:C26"/>
    <mergeCell ref="D26:E26"/>
    <mergeCell ref="F26:G26"/>
    <mergeCell ref="H26:J26"/>
    <mergeCell ref="K26:L26"/>
    <mergeCell ref="M26:N26"/>
    <mergeCell ref="FJ24:FL25"/>
    <mergeCell ref="FM24:FO25"/>
    <mergeCell ref="FP24:FR25"/>
    <mergeCell ref="EB24:EC25"/>
    <mergeCell ref="DE24:DF25"/>
    <mergeCell ref="DG24:DI25"/>
    <mergeCell ref="DJ24:DK25"/>
    <mergeCell ref="DL24:DM25"/>
    <mergeCell ref="DN24:DO25"/>
    <mergeCell ref="DP24:DQ25"/>
    <mergeCell ref="CQ24:CR25"/>
    <mergeCell ref="CS24:CT25"/>
    <mergeCell ref="CU24:CV25"/>
    <mergeCell ref="CW24:CX25"/>
    <mergeCell ref="CY24:DA25"/>
    <mergeCell ref="DB24:DD25"/>
    <mergeCell ref="CB24:CC25"/>
    <mergeCell ref="CD24:CF25"/>
    <mergeCell ref="AU26:AV26"/>
    <mergeCell ref="AX26:AY26"/>
    <mergeCell ref="BI26:BJ26"/>
    <mergeCell ref="BL26:BM26"/>
    <mergeCell ref="BN26:BO26"/>
    <mergeCell ref="BR26:BS26"/>
    <mergeCell ref="O26:P26"/>
    <mergeCell ref="Q26:R26"/>
    <mergeCell ref="X26:Y26"/>
    <mergeCell ref="AE26:AF26"/>
    <mergeCell ref="AH26:AI26"/>
    <mergeCell ref="AQ26:AR26"/>
    <mergeCell ref="CJ26:CL26"/>
    <mergeCell ref="CM26:CN26"/>
    <mergeCell ref="CO26:CP26"/>
    <mergeCell ref="CQ26:CR26"/>
    <mergeCell ref="CS26:CT26"/>
    <mergeCell ref="CU26:CV26"/>
    <mergeCell ref="BT26:BV26"/>
    <mergeCell ref="BW26:BX26"/>
    <mergeCell ref="BY26:CA26"/>
    <mergeCell ref="CB26:CC26"/>
    <mergeCell ref="CD26:CF26"/>
    <mergeCell ref="CG26:CI26"/>
    <mergeCell ref="DL26:DM26"/>
    <mergeCell ref="DN26:DO26"/>
    <mergeCell ref="DP26:DQ26"/>
    <mergeCell ref="DR26:DS26"/>
    <mergeCell ref="DT26:DU26"/>
    <mergeCell ref="DV26:DW26"/>
    <mergeCell ref="CW26:CX26"/>
    <mergeCell ref="CY26:DA26"/>
    <mergeCell ref="DB26:DD26"/>
    <mergeCell ref="DE26:DF26"/>
    <mergeCell ref="DG26:DI26"/>
    <mergeCell ref="DJ26:DK26"/>
    <mergeCell ref="FS26:FU26"/>
    <mergeCell ref="AQ27:AR27"/>
    <mergeCell ref="AX27:AY27"/>
    <mergeCell ref="DL27:DM27"/>
    <mergeCell ref="DV27:DW27"/>
    <mergeCell ref="EF27:EG27"/>
    <mergeCell ref="EZ26:FB26"/>
    <mergeCell ref="FC26:FE26"/>
    <mergeCell ref="FF26:FI26"/>
    <mergeCell ref="FJ26:FL26"/>
    <mergeCell ref="FM26:FO26"/>
    <mergeCell ref="FP26:FR26"/>
    <mergeCell ref="EJ26:EK26"/>
    <mergeCell ref="EL26:EM26"/>
    <mergeCell ref="EN26:EP26"/>
    <mergeCell ref="EQ26:ES26"/>
    <mergeCell ref="ET26:EV26"/>
    <mergeCell ref="EW26:EY26"/>
    <mergeCell ref="DX26:DY26"/>
    <mergeCell ref="DZ26:EA26"/>
    <mergeCell ref="EB26:EC26"/>
    <mergeCell ref="ED26:EE26"/>
    <mergeCell ref="EF26:EG26"/>
    <mergeCell ref="EH26:EI26"/>
    <mergeCell ref="A39:B39"/>
    <mergeCell ref="C39:D39"/>
    <mergeCell ref="E39:F39"/>
    <mergeCell ref="G39:H39"/>
    <mergeCell ref="I39:J39"/>
    <mergeCell ref="K39:L39"/>
    <mergeCell ref="M39:N39"/>
    <mergeCell ref="AX28:AY28"/>
    <mergeCell ref="FB37:JE37"/>
    <mergeCell ref="A38:AN38"/>
    <mergeCell ref="AO38:CE38"/>
    <mergeCell ref="CF38:CQ38"/>
    <mergeCell ref="CT38:DO38"/>
    <mergeCell ref="DP38:DS38"/>
    <mergeCell ref="DT38:EG38"/>
    <mergeCell ref="EH38:EW38"/>
    <mergeCell ref="EX38:FA38"/>
    <mergeCell ref="O39:P39"/>
    <mergeCell ref="Q39:R39"/>
    <mergeCell ref="S39:U39"/>
    <mergeCell ref="V39:W39"/>
    <mergeCell ref="X39:Y39"/>
    <mergeCell ref="Z39:AA39"/>
    <mergeCell ref="FB38:IE38"/>
    <mergeCell ref="IF38:IO38"/>
    <mergeCell ref="IP38:JE38"/>
    <mergeCell ref="AQ39:AR39"/>
    <mergeCell ref="AS39:AT39"/>
    <mergeCell ref="AU39:AV39"/>
    <mergeCell ref="AW39:AX39"/>
    <mergeCell ref="AY39:AZ39"/>
    <mergeCell ref="BA39:BB39"/>
    <mergeCell ref="AB39:AC39"/>
    <mergeCell ref="AD39:AE39"/>
    <mergeCell ref="AF39:AH39"/>
    <mergeCell ref="AI39:AK39"/>
    <mergeCell ref="AL39:AN39"/>
    <mergeCell ref="AO39:AP39"/>
    <mergeCell ref="BR39:BS39"/>
    <mergeCell ref="BT39:BU39"/>
    <mergeCell ref="BV39:BW39"/>
    <mergeCell ref="BX39:BY39"/>
    <mergeCell ref="BZ39:CA39"/>
    <mergeCell ref="CB39:CC39"/>
    <mergeCell ref="BC39:BD39"/>
    <mergeCell ref="BE39:BF39"/>
    <mergeCell ref="BG39:BI39"/>
    <mergeCell ref="BJ39:BL39"/>
    <mergeCell ref="BM39:BO39"/>
    <mergeCell ref="BP39:BQ39"/>
    <mergeCell ref="CV39:CW39"/>
    <mergeCell ref="CZ39:DA39"/>
    <mergeCell ref="DB39:DC39"/>
    <mergeCell ref="DD39:DE39"/>
    <mergeCell ref="DF39:DG39"/>
    <mergeCell ref="DH39:DI39"/>
    <mergeCell ref="CD39:CE39"/>
    <mergeCell ref="CH39:CI39"/>
    <mergeCell ref="CL39:CM39"/>
    <mergeCell ref="CN39:CO39"/>
    <mergeCell ref="CP39:CQ39"/>
    <mergeCell ref="CR39:CS39"/>
    <mergeCell ref="DZ39:EA39"/>
    <mergeCell ref="EB39:EC39"/>
    <mergeCell ref="ED39:EE39"/>
    <mergeCell ref="EF39:EG39"/>
    <mergeCell ref="EJ39:EK39"/>
    <mergeCell ref="EN39:EO39"/>
    <mergeCell ref="DJ39:DK39"/>
    <mergeCell ref="DL39:DM39"/>
    <mergeCell ref="DN39:DO39"/>
    <mergeCell ref="DP39:DQ39"/>
    <mergeCell ref="DR39:DS39"/>
    <mergeCell ref="DV39:DW39"/>
    <mergeCell ref="FB39:FC39"/>
    <mergeCell ref="FD39:FF39"/>
    <mergeCell ref="FG39:FI39"/>
    <mergeCell ref="FJ39:FL39"/>
    <mergeCell ref="FM39:FO39"/>
    <mergeCell ref="FP39:FR39"/>
    <mergeCell ref="EP39:EQ39"/>
    <mergeCell ref="ER39:ES39"/>
    <mergeCell ref="ET39:EU39"/>
    <mergeCell ref="EV39:EW39"/>
    <mergeCell ref="EX39:EY39"/>
    <mergeCell ref="EZ39:FA39"/>
    <mergeCell ref="GJ39:GL39"/>
    <mergeCell ref="GM39:GN39"/>
    <mergeCell ref="GO39:GP39"/>
    <mergeCell ref="GQ39:GS39"/>
    <mergeCell ref="GT39:GV39"/>
    <mergeCell ref="GW39:GY39"/>
    <mergeCell ref="FS39:FU39"/>
    <mergeCell ref="FV39:FW39"/>
    <mergeCell ref="FX39:FZ39"/>
    <mergeCell ref="GA39:GC39"/>
    <mergeCell ref="GD39:GF39"/>
    <mergeCell ref="GG39:GI39"/>
    <mergeCell ref="HU39:HV39"/>
    <mergeCell ref="HW39:HY39"/>
    <mergeCell ref="HZ39:IB39"/>
    <mergeCell ref="IC39:IE39"/>
    <mergeCell ref="GZ39:HB39"/>
    <mergeCell ref="HC39:HD39"/>
    <mergeCell ref="HE39:HF39"/>
    <mergeCell ref="HG39:HI39"/>
    <mergeCell ref="HJ39:HL39"/>
    <mergeCell ref="HM39:HO39"/>
    <mergeCell ref="JD39:JE39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IR39:IS39"/>
    <mergeCell ref="IT39:IU39"/>
    <mergeCell ref="IV39:IW39"/>
    <mergeCell ref="IX39:IY39"/>
    <mergeCell ref="IZ39:JA39"/>
    <mergeCell ref="JB39:JC39"/>
    <mergeCell ref="IF39:IG39"/>
    <mergeCell ref="IH39:II39"/>
    <mergeCell ref="IJ39:IK39"/>
    <mergeCell ref="IL39:IM39"/>
    <mergeCell ref="IN39:IO39"/>
    <mergeCell ref="IP39:IQ39"/>
    <mergeCell ref="HP39:HR39"/>
    <mergeCell ref="HS39:HT39"/>
    <mergeCell ref="AF40:AH40"/>
    <mergeCell ref="AI40:AK40"/>
    <mergeCell ref="AL40:AN40"/>
    <mergeCell ref="AO40:AP40"/>
    <mergeCell ref="AQ40:AR40"/>
    <mergeCell ref="AS40:AT40"/>
    <mergeCell ref="S40:U40"/>
    <mergeCell ref="V40:W40"/>
    <mergeCell ref="X40:Y40"/>
    <mergeCell ref="Z40:AA40"/>
    <mergeCell ref="AB40:AC40"/>
    <mergeCell ref="AD40:AE40"/>
    <mergeCell ref="BG40:BI40"/>
    <mergeCell ref="BJ40:BL40"/>
    <mergeCell ref="BM40:BO40"/>
    <mergeCell ref="BP40:BQ40"/>
    <mergeCell ref="BR40:BS40"/>
    <mergeCell ref="BT40:BU40"/>
    <mergeCell ref="AU40:AV40"/>
    <mergeCell ref="AW40:AX40"/>
    <mergeCell ref="AY40:AZ40"/>
    <mergeCell ref="BA40:BB40"/>
    <mergeCell ref="BC40:BD40"/>
    <mergeCell ref="BE40:BF40"/>
    <mergeCell ref="CL40:CM40"/>
    <mergeCell ref="CN40:CO40"/>
    <mergeCell ref="CP40:CQ40"/>
    <mergeCell ref="CR40:CS40"/>
    <mergeCell ref="CV40:CW40"/>
    <mergeCell ref="CZ40:DA40"/>
    <mergeCell ref="BV40:BW40"/>
    <mergeCell ref="BX40:BY40"/>
    <mergeCell ref="BZ40:CA40"/>
    <mergeCell ref="CB40:CC40"/>
    <mergeCell ref="CD40:CE40"/>
    <mergeCell ref="CH40:CI40"/>
    <mergeCell ref="DN40:DO40"/>
    <mergeCell ref="DP40:DQ40"/>
    <mergeCell ref="DR40:DS40"/>
    <mergeCell ref="DV40:DW40"/>
    <mergeCell ref="DZ40:EA40"/>
    <mergeCell ref="EB40:EC40"/>
    <mergeCell ref="DB40:DC40"/>
    <mergeCell ref="DD40:DE40"/>
    <mergeCell ref="DF40:DG40"/>
    <mergeCell ref="DH40:DI40"/>
    <mergeCell ref="DJ40:DK40"/>
    <mergeCell ref="DL40:DM40"/>
    <mergeCell ref="ET40:EU40"/>
    <mergeCell ref="EV40:EW40"/>
    <mergeCell ref="EX40:EY40"/>
    <mergeCell ref="EZ40:FA40"/>
    <mergeCell ref="FB40:FC40"/>
    <mergeCell ref="FD40:FF40"/>
    <mergeCell ref="ED40:EE40"/>
    <mergeCell ref="EF40:EG40"/>
    <mergeCell ref="EJ40:EK40"/>
    <mergeCell ref="EN40:EO40"/>
    <mergeCell ref="EP40:EQ40"/>
    <mergeCell ref="ER40:ES40"/>
    <mergeCell ref="FX40:FZ40"/>
    <mergeCell ref="GA40:GC40"/>
    <mergeCell ref="GD40:GF40"/>
    <mergeCell ref="GG40:GI40"/>
    <mergeCell ref="GJ40:GL40"/>
    <mergeCell ref="GM40:GN40"/>
    <mergeCell ref="FG40:FI40"/>
    <mergeCell ref="FJ40:FL40"/>
    <mergeCell ref="FM40:FO40"/>
    <mergeCell ref="FP40:FR40"/>
    <mergeCell ref="FS40:FU40"/>
    <mergeCell ref="FV40:FW40"/>
    <mergeCell ref="IH40:II40"/>
    <mergeCell ref="HE40:HF40"/>
    <mergeCell ref="HG40:HI40"/>
    <mergeCell ref="HJ40:HL40"/>
    <mergeCell ref="HM40:HO40"/>
    <mergeCell ref="HP40:HR40"/>
    <mergeCell ref="HS40:HT40"/>
    <mergeCell ref="GO40:GP40"/>
    <mergeCell ref="GQ40:GS40"/>
    <mergeCell ref="GT40:GV40"/>
    <mergeCell ref="GW40:GY40"/>
    <mergeCell ref="GZ40:HB40"/>
    <mergeCell ref="HC40:HD40"/>
    <mergeCell ref="DB41:DC41"/>
    <mergeCell ref="DD41:DE41"/>
    <mergeCell ref="DH41:DI41"/>
    <mergeCell ref="IV40:IW40"/>
    <mergeCell ref="IX40:IY40"/>
    <mergeCell ref="IZ40:JA40"/>
    <mergeCell ref="JB40:JC40"/>
    <mergeCell ref="JD40:JE40"/>
    <mergeCell ref="BE41:BF41"/>
    <mergeCell ref="BJ41:BL41"/>
    <mergeCell ref="BT41:BU41"/>
    <mergeCell ref="BV41:BW41"/>
    <mergeCell ref="BZ41:CA41"/>
    <mergeCell ref="IJ40:IK40"/>
    <mergeCell ref="IL40:IM40"/>
    <mergeCell ref="IN40:IO40"/>
    <mergeCell ref="IP40:IQ40"/>
    <mergeCell ref="IR40:IS40"/>
    <mergeCell ref="IT40:IU40"/>
    <mergeCell ref="HU40:HV40"/>
    <mergeCell ref="HW40:HY40"/>
    <mergeCell ref="HZ40:IB40"/>
    <mergeCell ref="IC40:IE40"/>
    <mergeCell ref="IF40:IG40"/>
    <mergeCell ref="F50:H50"/>
    <mergeCell ref="O50:Q50"/>
    <mergeCell ref="AA50:AC50"/>
    <mergeCell ref="AK50:AM50"/>
    <mergeCell ref="A51:K51"/>
    <mergeCell ref="L51:U51"/>
    <mergeCell ref="V51:AF51"/>
    <mergeCell ref="AG51:AP51"/>
    <mergeCell ref="EX41:FA42"/>
    <mergeCell ref="BJ42:BL42"/>
    <mergeCell ref="BV42:BW42"/>
    <mergeCell ref="CB42:CC42"/>
    <mergeCell ref="CZ42:DA42"/>
    <mergeCell ref="DB42:DC42"/>
    <mergeCell ref="DD42:DE42"/>
    <mergeCell ref="DJ41:DK41"/>
    <mergeCell ref="DP41:DS42"/>
    <mergeCell ref="DZ41:EA41"/>
    <mergeCell ref="EN41:EO41"/>
    <mergeCell ref="EP41:EQ41"/>
    <mergeCell ref="ET41:EU41"/>
    <mergeCell ref="CB41:CC41"/>
    <mergeCell ref="CL41:CM41"/>
    <mergeCell ref="CZ41:DA41"/>
    <mergeCell ref="N52:N53"/>
    <mergeCell ref="O52:Q53"/>
    <mergeCell ref="R52:U53"/>
    <mergeCell ref="V52:V53"/>
    <mergeCell ref="A52:A53"/>
    <mergeCell ref="B52:B53"/>
    <mergeCell ref="C52:C53"/>
    <mergeCell ref="D52:E53"/>
    <mergeCell ref="F52:H53"/>
    <mergeCell ref="I52:K53"/>
    <mergeCell ref="F7:H7"/>
    <mergeCell ref="A6:E6"/>
    <mergeCell ref="A7:E7"/>
    <mergeCell ref="BA2:CH2"/>
    <mergeCell ref="AB54:AC54"/>
    <mergeCell ref="AE54:AF54"/>
    <mergeCell ref="AG54:AH54"/>
    <mergeCell ref="AL54:AM54"/>
    <mergeCell ref="AO54:AP54"/>
    <mergeCell ref="AK52:AM53"/>
    <mergeCell ref="AN52:AP53"/>
    <mergeCell ref="AA52:AC53"/>
    <mergeCell ref="AD52:AF53"/>
    <mergeCell ref="D54:E54"/>
    <mergeCell ref="G54:H54"/>
    <mergeCell ref="J54:K54"/>
    <mergeCell ref="P54:Q54"/>
    <mergeCell ref="S54:U54"/>
    <mergeCell ref="Y54:Z54"/>
    <mergeCell ref="W52:W53"/>
    <mergeCell ref="X52:X53"/>
    <mergeCell ref="Y52:Z53"/>
    <mergeCell ref="L52:L53"/>
    <mergeCell ref="M52:M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Porto Rabo de Peixe</vt:lpstr>
      <vt:lpstr>Molhe-cais S. Roque tramo Este</vt:lpstr>
      <vt:lpstr>Molhe-cais S. Roque Tramo Oeste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2012-08-17T16:48:01Z</dcterms:created>
  <dcterms:modified xsi:type="dcterms:W3CDTF">2016-02-11T09:16:21Z</dcterms:modified>
</cp:coreProperties>
</file>