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Chillers" sheetId="2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J62" i="2" l="1"/>
  <c r="V9" i="2" l="1"/>
  <c r="V5" i="2"/>
  <c r="V4" i="2"/>
  <c r="L82" i="2" l="1"/>
  <c r="E61" i="2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D60" i="2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C60" i="2"/>
  <c r="C61" i="2" s="1"/>
  <c r="B60" i="2"/>
  <c r="G60" i="2" s="1"/>
  <c r="I27" i="2"/>
  <c r="F47" i="2" s="1"/>
  <c r="I25" i="2"/>
  <c r="F42" i="2" s="1"/>
  <c r="I20" i="2"/>
  <c r="P19" i="2"/>
  <c r="P12" i="2"/>
  <c r="V17" i="2"/>
  <c r="V14" i="2"/>
  <c r="V10" i="2"/>
  <c r="V21" i="2"/>
  <c r="I5" i="2"/>
  <c r="I17" i="2" s="1"/>
  <c r="I4" i="2"/>
  <c r="I16" i="2" s="1"/>
  <c r="I3" i="2"/>
  <c r="I15" i="2" s="1"/>
  <c r="C59" i="2" l="1"/>
  <c r="J59" i="2" s="1"/>
  <c r="J60" i="2" s="1"/>
  <c r="F50" i="2"/>
  <c r="F48" i="2"/>
  <c r="F45" i="2"/>
  <c r="F43" i="2"/>
  <c r="F44" i="2" s="1"/>
  <c r="C62" i="2"/>
  <c r="I6" i="2"/>
  <c r="V6" i="2"/>
  <c r="V19" i="2" s="1"/>
  <c r="B61" i="2"/>
  <c r="H59" i="2" l="1"/>
  <c r="I59" i="2" s="1"/>
  <c r="B62" i="2"/>
  <c r="G61" i="2"/>
  <c r="C63" i="2"/>
  <c r="J61" i="2"/>
  <c r="I18" i="2"/>
  <c r="V25" i="2"/>
  <c r="F49" i="2"/>
  <c r="F37" i="2" l="1"/>
  <c r="F38" i="2" s="1"/>
  <c r="F32" i="2"/>
  <c r="F33" i="2" s="1"/>
  <c r="C64" i="2"/>
  <c r="G62" i="2"/>
  <c r="B63" i="2"/>
  <c r="B64" i="2" l="1"/>
  <c r="G63" i="2"/>
  <c r="J63" i="2"/>
  <c r="F35" i="2"/>
  <c r="F52" i="2"/>
  <c r="F34" i="2"/>
  <c r="V24" i="2"/>
  <c r="C65" i="2"/>
  <c r="J64" i="2"/>
  <c r="F40" i="2"/>
  <c r="F39" i="2"/>
  <c r="F62" i="2" l="1"/>
  <c r="F64" i="2"/>
  <c r="F66" i="2"/>
  <c r="F68" i="2"/>
  <c r="F70" i="2"/>
  <c r="F72" i="2"/>
  <c r="F74" i="2"/>
  <c r="F76" i="2"/>
  <c r="F78" i="2"/>
  <c r="F61" i="2"/>
  <c r="F63" i="2"/>
  <c r="F65" i="2"/>
  <c r="F67" i="2"/>
  <c r="F69" i="2"/>
  <c r="F71" i="2"/>
  <c r="F73" i="2"/>
  <c r="F75" i="2"/>
  <c r="F77" i="2"/>
  <c r="F79" i="2"/>
  <c r="C66" i="2"/>
  <c r="F53" i="2"/>
  <c r="G64" i="2"/>
  <c r="B65" i="2"/>
  <c r="H62" i="2" l="1"/>
  <c r="B66" i="2"/>
  <c r="G65" i="2"/>
  <c r="H65" i="2" s="1"/>
  <c r="H64" i="2"/>
  <c r="H61" i="2"/>
  <c r="F60" i="2"/>
  <c r="K60" i="2" s="1"/>
  <c r="W26" i="2"/>
  <c r="H63" i="2"/>
  <c r="C67" i="2"/>
  <c r="J65" i="2"/>
  <c r="J66" i="2" s="1"/>
  <c r="C68" i="2" l="1"/>
  <c r="K61" i="2"/>
  <c r="K62" i="2" s="1"/>
  <c r="K63" i="2" s="1"/>
  <c r="H60" i="2"/>
  <c r="I60" i="2" s="1"/>
  <c r="I61" i="2" s="1"/>
  <c r="I62" i="2" s="1"/>
  <c r="I63" i="2" s="1"/>
  <c r="I64" i="2" s="1"/>
  <c r="I65" i="2" s="1"/>
  <c r="G66" i="2"/>
  <c r="B67" i="2"/>
  <c r="K65" i="2" l="1"/>
  <c r="K64" i="2"/>
  <c r="K66" i="2"/>
  <c r="H66" i="2"/>
  <c r="I66" i="2" s="1"/>
  <c r="B68" i="2"/>
  <c r="G67" i="2"/>
  <c r="C69" i="2"/>
  <c r="J67" i="2"/>
  <c r="J68" i="2" l="1"/>
  <c r="K67" i="2"/>
  <c r="H67" i="2"/>
  <c r="I67" i="2" s="1"/>
  <c r="C70" i="2"/>
  <c r="G68" i="2"/>
  <c r="B69" i="2"/>
  <c r="K68" i="2" l="1"/>
  <c r="H68" i="2"/>
  <c r="I68" i="2" s="1"/>
  <c r="B70" i="2"/>
  <c r="G69" i="2"/>
  <c r="C71" i="2"/>
  <c r="J69" i="2"/>
  <c r="J70" i="2" l="1"/>
  <c r="K69" i="2"/>
  <c r="H69" i="2"/>
  <c r="I69" i="2" s="1"/>
  <c r="I80" i="2" s="1"/>
  <c r="C72" i="2"/>
  <c r="G70" i="2"/>
  <c r="B71" i="2"/>
  <c r="B72" i="2" l="1"/>
  <c r="G71" i="2"/>
  <c r="J71" i="2"/>
  <c r="K70" i="2"/>
  <c r="H70" i="2"/>
  <c r="I70" i="2" s="1"/>
  <c r="C73" i="2"/>
  <c r="J72" i="2"/>
  <c r="C74" i="2" l="1"/>
  <c r="K71" i="2"/>
  <c r="H71" i="2"/>
  <c r="I71" i="2" s="1"/>
  <c r="G72" i="2"/>
  <c r="B73" i="2"/>
  <c r="K72" i="2" l="1"/>
  <c r="H72" i="2"/>
  <c r="I72" i="2" s="1"/>
  <c r="B74" i="2"/>
  <c r="G73" i="2"/>
  <c r="C75" i="2"/>
  <c r="J73" i="2"/>
  <c r="J74" i="2" l="1"/>
  <c r="K73" i="2"/>
  <c r="H73" i="2"/>
  <c r="I73" i="2" s="1"/>
  <c r="C76" i="2"/>
  <c r="G74" i="2"/>
  <c r="B75" i="2"/>
  <c r="B76" i="2" l="1"/>
  <c r="G75" i="2"/>
  <c r="J75" i="2"/>
  <c r="K74" i="2"/>
  <c r="H74" i="2"/>
  <c r="I74" i="2" s="1"/>
  <c r="C77" i="2"/>
  <c r="J76" i="2"/>
  <c r="C78" i="2" l="1"/>
  <c r="K75" i="2"/>
  <c r="H75" i="2"/>
  <c r="I75" i="2" s="1"/>
  <c r="G76" i="2"/>
  <c r="B77" i="2"/>
  <c r="K76" i="2" l="1"/>
  <c r="H76" i="2"/>
  <c r="I76" i="2" s="1"/>
  <c r="B78" i="2"/>
  <c r="G77" i="2"/>
  <c r="C79" i="2"/>
  <c r="J77" i="2"/>
  <c r="J78" i="2" l="1"/>
  <c r="K77" i="2"/>
  <c r="H77" i="2"/>
  <c r="I77" i="2" s="1"/>
  <c r="G78" i="2"/>
  <c r="B79" i="2"/>
  <c r="G79" i="2" s="1"/>
  <c r="J79" i="2" l="1"/>
  <c r="K78" i="2"/>
  <c r="H78" i="2"/>
  <c r="I78" i="2" s="1"/>
  <c r="K79" i="2"/>
  <c r="H79" i="2"/>
  <c r="I79" i="2" l="1"/>
  <c r="I81" i="2" s="1"/>
</calcChain>
</file>

<file path=xl/comments1.xml><?xml version="1.0" encoding="utf-8"?>
<comments xmlns="http://schemas.openxmlformats.org/spreadsheetml/2006/main">
  <authors>
    <author>Nuno</author>
  </authors>
  <commentList>
    <comment ref="O18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Instalação incluida;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Fisicas (cablagem; etc) e Programação;</t>
        </r>
      </text>
    </comment>
    <comment ref="I2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http://www.baltimoreaircoil.eu/products/VFL-72X-96X</t>
        </r>
      </text>
    </comment>
    <comment ref="I8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PRI - Período do retorno do investimento</t>
        </r>
      </text>
    </comment>
  </commentList>
</comments>
</file>

<file path=xl/sharedStrings.xml><?xml version="1.0" encoding="utf-8"?>
<sst xmlns="http://schemas.openxmlformats.org/spreadsheetml/2006/main" count="109" uniqueCount="88">
  <si>
    <t>Considerações</t>
  </si>
  <si>
    <t>Resumo de custos (€)</t>
  </si>
  <si>
    <t>Consumo chiller 1 em 2012 (kWh):</t>
  </si>
  <si>
    <r>
      <t>Chillers</t>
    </r>
    <r>
      <rPr>
        <sz val="11"/>
        <color theme="1"/>
        <rFont val="Calibri"/>
        <family val="2"/>
      </rPr>
      <t xml:space="preserve"> (3 unidades)</t>
    </r>
  </si>
  <si>
    <t>Consumo chiller 2 em 2012 (kWh):</t>
  </si>
  <si>
    <t>Aquisição e instalação</t>
  </si>
  <si>
    <t>Consumo chiller 4 em 2012 (kWh):</t>
  </si>
  <si>
    <t>Aquisição de equipamento - Chiller's (€):</t>
  </si>
  <si>
    <t>Manutenção anual</t>
  </si>
  <si>
    <t>Consumo chillers em 2012 (kWh):</t>
  </si>
  <si>
    <t>Custo unitário do chiller:</t>
  </si>
  <si>
    <t>Torres de arrefecimento (3 unidades)</t>
  </si>
  <si>
    <t>Capacidade frigorífica chiller Carrier 30 HT 370 - Existente (kW):</t>
  </si>
  <si>
    <t>Eletrobombas (20 unidades)</t>
  </si>
  <si>
    <t>(1x) Capacidade frigorífica chiller Carrier 30 XWH 1154 - Proposto (kW):</t>
  </si>
  <si>
    <t>Instalação de três unidades:</t>
  </si>
  <si>
    <t>(2x) Capacidade frigorífica chiller Carrier 30 XWV 1150 - Proposto (kW):</t>
  </si>
  <si>
    <t>Gestão Técnica Centralizada</t>
  </si>
  <si>
    <t>Alterações necessárias</t>
  </si>
  <si>
    <t>Consumo nominal chiller Carrier 30 HT 370 - Existente (kW):</t>
  </si>
  <si>
    <t>Consumo nominal chiller's - Proposto (kW):</t>
  </si>
  <si>
    <t>Três Equip.</t>
  </si>
  <si>
    <t>Manutenção chillers (€/ano):</t>
  </si>
  <si>
    <t>Aquisição de equipamento - Torres (€):</t>
  </si>
  <si>
    <t>Consumo nominal torre Baltimore VTL-245 P - Existente (kW):</t>
  </si>
  <si>
    <t>-----</t>
  </si>
  <si>
    <t>Consumo nominal torre Baltimore VFL-964 P - Proposto (kW):</t>
  </si>
  <si>
    <t>Alterações necessárias na GTC:</t>
  </si>
  <si>
    <t>Taxas:</t>
  </si>
  <si>
    <t>Taxa de Inflacção:</t>
  </si>
  <si>
    <t>Estimativas (anual) de…</t>
  </si>
  <si>
    <t>CHILLERS NOVOS</t>
  </si>
  <si>
    <t>Secundárias:</t>
  </si>
  <si>
    <t>...de consumo (kWh):</t>
  </si>
  <si>
    <t>Primárias:</t>
  </si>
  <si>
    <t>...de redução (kWh):</t>
  </si>
  <si>
    <t>(Valor que se irá economizar)</t>
  </si>
  <si>
    <t>Redução de consumo (%):</t>
  </si>
  <si>
    <t>BOMBAS NOVAS</t>
  </si>
  <si>
    <t>GLOBAL</t>
  </si>
  <si>
    <t>Ano</t>
  </si>
  <si>
    <t>Investimento</t>
  </si>
  <si>
    <t>€/kWh</t>
  </si>
  <si>
    <t>Cash Flow</t>
  </si>
  <si>
    <t>Retorno Acumulado</t>
  </si>
  <si>
    <t>Investimento Acumulado</t>
  </si>
  <si>
    <t>(dias)</t>
  </si>
  <si>
    <t>Dados usados para o estudo dos consumos</t>
  </si>
  <si>
    <t>Consumo torres arrefecimento em 2012 (kWh):</t>
  </si>
  <si>
    <t>Consumo Caldeiras em 2012 (kWh):</t>
  </si>
  <si>
    <t>...de redução (€):</t>
  </si>
  <si>
    <t>Total:</t>
  </si>
  <si>
    <t>Três Equipamentos + instalação:</t>
  </si>
  <si>
    <t>Três Equipamentos:</t>
  </si>
  <si>
    <t>€/kWh (gás natural):</t>
  </si>
  <si>
    <t>Payback Period</t>
  </si>
  <si>
    <t>ROI</t>
  </si>
  <si>
    <t>TORRES DE ARREFECIMENTO NOVAS</t>
  </si>
  <si>
    <t>Redução de consumos e custos</t>
  </si>
  <si>
    <t>Redução energética (kWh)</t>
  </si>
  <si>
    <t>Eletricidade (kWh)</t>
  </si>
  <si>
    <t>Gás Natural (kWh)</t>
  </si>
  <si>
    <t>Totais</t>
  </si>
  <si>
    <t>€/kWh (eletricidade):</t>
  </si>
  <si>
    <t>REDUÇÃO DE USO DAS CALDEIRAS</t>
  </si>
  <si>
    <t>Redução de custos de consumo</t>
  </si>
  <si>
    <t>Redução de custos de manutenção</t>
  </si>
  <si>
    <t>Redução de custos acumulado</t>
  </si>
  <si>
    <t>Eletricidade</t>
  </si>
  <si>
    <t>Gás Natural</t>
  </si>
  <si>
    <t>0,94 anos:</t>
  </si>
  <si>
    <r>
      <t xml:space="preserve">Estudo de viabilidade económica - Substituição dos </t>
    </r>
    <r>
      <rPr>
        <i/>
        <sz val="11"/>
        <color theme="1"/>
        <rFont val="Calibri"/>
        <family val="2"/>
      </rPr>
      <t>Chillers</t>
    </r>
    <r>
      <rPr>
        <sz val="11"/>
        <color theme="1"/>
        <rFont val="Calibri"/>
        <family val="2"/>
        <scheme val="minor"/>
      </rPr>
      <t xml:space="preserve"> (€)</t>
    </r>
  </si>
  <si>
    <t xml:space="preserve">Horas de funcionamento chiller 1 em 2012: </t>
  </si>
  <si>
    <t xml:space="preserve">Horas de funcionamento chiller 2 em 2012: </t>
  </si>
  <si>
    <t xml:space="preserve">Horas de funcionamento chiller 4 em 2012: </t>
  </si>
  <si>
    <t>Total de horas de funcionamento em 2012:</t>
  </si>
  <si>
    <t>Consumo Eletrobombas em 2012 (kWh):</t>
  </si>
  <si>
    <t>Total do investimento</t>
  </si>
  <si>
    <t>943.769 kWh</t>
  </si>
  <si>
    <t>Redução de custos (€)</t>
  </si>
  <si>
    <t>Eletricidade (0,12€/kWh)</t>
  </si>
  <si>
    <t>Gás Natural (0,054€/kWh)</t>
  </si>
  <si>
    <t>Custo unitário da torre (instalação incluída):</t>
  </si>
  <si>
    <t>Custo unitário</t>
  </si>
  <si>
    <t>Instalação</t>
  </si>
  <si>
    <t>Eletrobombas  (com variador de velocidade):</t>
  </si>
  <si>
    <t>Redução de custos de manutenção:</t>
  </si>
  <si>
    <r>
      <t xml:space="preserve">O </t>
    </r>
    <r>
      <rPr>
        <i/>
        <sz val="11"/>
        <color theme="1"/>
        <rFont val="Calibri"/>
        <family val="2"/>
      </rPr>
      <t>chiller</t>
    </r>
    <r>
      <rPr>
        <sz val="11"/>
        <color theme="1"/>
        <rFont val="Calibri"/>
        <family val="2"/>
        <scheme val="minor"/>
      </rPr>
      <t xml:space="preserve"> modelo 30 XWH 1154, considerado equipamento de "alto rendimento", possibilita o aproveitamento do calor gerado quando este está a funcionar, enquanto que nos outros dois </t>
    </r>
    <r>
      <rPr>
        <i/>
        <sz val="11"/>
        <color theme="1"/>
        <rFont val="Calibri"/>
        <family val="2"/>
        <scheme val="minor"/>
      </rPr>
      <t>chilllers (30 XWV 1150)</t>
    </r>
    <r>
      <rPr>
        <sz val="11"/>
        <color theme="1"/>
        <rFont val="Calibri"/>
        <family val="2"/>
        <scheme val="minor"/>
      </rPr>
      <t xml:space="preserve"> o calor gerado por estes terá de ser dissipado na totalidade pelas torres de arrefecimento.  O </t>
    </r>
    <r>
      <rPr>
        <i/>
        <sz val="11"/>
        <color theme="1"/>
        <rFont val="Calibri"/>
        <family val="2"/>
        <scheme val="minor"/>
      </rPr>
      <t xml:space="preserve">chiller 30 XWH 1154 ao </t>
    </r>
    <r>
      <rPr>
        <sz val="11"/>
        <color theme="1"/>
        <rFont val="Calibri"/>
        <family val="2"/>
        <scheme val="minor"/>
      </rPr>
      <t xml:space="preserve">funcionar em regime de produção (somente de frio),  o calor naturalmente produzido tem que ser dissipado pelas torres. Mas caso haja aplicação para este (necessidades de calor), poderá ocorrer o aproveitamento do calor proveniente do seu funcionamento, possibilitando desta forma uma redução do uso das caldeiras.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</si>
</sst>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00"/>
    <numFmt numFmtId="166" formatCode="#,##0\ &quot;€&quot;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0" borderId="0" xfId="0" applyBorder="1" applyProtection="1"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4" fontId="0" fillId="0" borderId="0" xfId="0" applyNumberFormat="1" applyBorder="1" applyAlignment="1" applyProtection="1">
      <alignment horizontal="left" vertical="center"/>
      <protection hidden="1"/>
    </xf>
    <xf numFmtId="0" fontId="0" fillId="0" borderId="5" xfId="0" applyBorder="1" applyProtection="1">
      <protection hidden="1"/>
    </xf>
    <xf numFmtId="2" fontId="0" fillId="0" borderId="0" xfId="0" applyNumberFormat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166" fontId="0" fillId="0" borderId="8" xfId="0" applyNumberFormat="1" applyBorder="1" applyAlignment="1" applyProtection="1">
      <alignment horizontal="center" vertical="center"/>
      <protection hidden="1"/>
    </xf>
    <xf numFmtId="0" fontId="0" fillId="7" borderId="4" xfId="0" applyFill="1" applyBorder="1" applyProtection="1">
      <protection hidden="1"/>
    </xf>
    <xf numFmtId="0" fontId="0" fillId="7" borderId="0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1" fillId="0" borderId="4" xfId="0" applyFont="1" applyFill="1" applyBorder="1" applyProtection="1">
      <protection hidden="1"/>
    </xf>
    <xf numFmtId="0" fontId="1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5" xfId="0" applyFont="1" applyFill="1" applyBorder="1" applyProtection="1">
      <protection hidden="1"/>
    </xf>
    <xf numFmtId="4" fontId="0" fillId="0" borderId="5" xfId="0" applyNumberFormat="1" applyFill="1" applyBorder="1" applyAlignment="1" applyProtection="1">
      <alignment horizontal="left" vertical="center"/>
      <protection hidden="1"/>
    </xf>
    <xf numFmtId="4" fontId="0" fillId="0" borderId="0" xfId="0" applyNumberFormat="1" applyFill="1" applyBorder="1" applyAlignment="1" applyProtection="1">
      <alignment horizontal="left" vertical="center"/>
      <protection hidden="1"/>
    </xf>
    <xf numFmtId="0" fontId="0" fillId="7" borderId="19" xfId="0" applyFill="1" applyBorder="1" applyAlignment="1" applyProtection="1">
      <alignment horizontal="center"/>
      <protection hidden="1"/>
    </xf>
    <xf numFmtId="0" fontId="0" fillId="7" borderId="20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/>
      <protection hidden="1"/>
    </xf>
    <xf numFmtId="4" fontId="0" fillId="0" borderId="0" xfId="0" applyNumberFormat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5" xfId="0" applyFill="1" applyBorder="1" applyProtection="1">
      <protection hidden="1"/>
    </xf>
    <xf numFmtId="4" fontId="0" fillId="0" borderId="0" xfId="0" applyNumberFormat="1" applyProtection="1">
      <protection hidden="1"/>
    </xf>
    <xf numFmtId="4" fontId="0" fillId="0" borderId="5" xfId="0" applyNumberFormat="1" applyBorder="1" applyAlignment="1" applyProtection="1">
      <alignment horizontal="left"/>
      <protection hidden="1"/>
    </xf>
    <xf numFmtId="4" fontId="0" fillId="0" borderId="0" xfId="0" applyNumberFormat="1" applyFill="1" applyBorder="1" applyAlignment="1" applyProtection="1">
      <alignment horizontal="left"/>
      <protection hidden="1"/>
    </xf>
    <xf numFmtId="1" fontId="0" fillId="0" borderId="0" xfId="0" applyNumberFormat="1" applyBorder="1" applyAlignment="1" applyProtection="1">
      <alignment horizontal="left" vertical="center"/>
      <protection hidden="1"/>
    </xf>
    <xf numFmtId="0" fontId="0" fillId="7" borderId="0" xfId="0" applyFill="1" applyBorder="1" applyAlignment="1" applyProtection="1">
      <alignment horizontal="right"/>
      <protection hidden="1"/>
    </xf>
    <xf numFmtId="4" fontId="0" fillId="7" borderId="5" xfId="0" applyNumberFormat="1" applyFill="1" applyBorder="1" applyAlignment="1" applyProtection="1">
      <alignment horizontal="left"/>
      <protection hidden="1"/>
    </xf>
    <xf numFmtId="4" fontId="0" fillId="0" borderId="5" xfId="0" applyNumberFormat="1" applyFill="1" applyBorder="1" applyAlignment="1" applyProtection="1">
      <alignment horizontal="left"/>
      <protection hidden="1"/>
    </xf>
    <xf numFmtId="166" fontId="0" fillId="0" borderId="8" xfId="0" applyNumberFormat="1" applyBorder="1" applyAlignment="1" applyProtection="1">
      <alignment horizontal="center"/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66" fontId="0" fillId="0" borderId="11" xfId="0" applyNumberFormat="1" applyBorder="1" applyAlignment="1" applyProtection="1">
      <alignment horizontal="center" vertical="center"/>
      <protection hidden="1"/>
    </xf>
    <xf numFmtId="4" fontId="0" fillId="7" borderId="0" xfId="0" quotePrefix="1" applyNumberFormat="1" applyFill="1" applyBorder="1" applyAlignment="1" applyProtection="1">
      <alignment horizontal="center"/>
      <protection hidden="1"/>
    </xf>
    <xf numFmtId="4" fontId="0" fillId="7" borderId="5" xfId="0" applyNumberFormat="1" applyFill="1" applyBorder="1" applyAlignment="1" applyProtection="1">
      <alignment horizontal="left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0" fillId="0" borderId="6" xfId="0" applyBorder="1" applyAlignment="1" applyProtection="1">
      <alignment horizontal="center" wrapText="1"/>
      <protection hidden="1"/>
    </xf>
    <xf numFmtId="3" fontId="0" fillId="0" borderId="7" xfId="0" applyNumberFormat="1" applyBorder="1" applyAlignment="1" applyProtection="1">
      <alignment horizontal="center" vertical="center"/>
      <protection hidden="1"/>
    </xf>
    <xf numFmtId="3" fontId="0" fillId="0" borderId="8" xfId="0" applyNumberFormat="1" applyBorder="1" applyAlignment="1" applyProtection="1">
      <alignment horizontal="center" vertical="center"/>
      <protection hidden="1"/>
    </xf>
    <xf numFmtId="4" fontId="0" fillId="7" borderId="0" xfId="0" applyNumberFormat="1" applyFill="1" applyBorder="1" applyAlignment="1" applyProtection="1">
      <alignment horizontal="left" vertical="center"/>
      <protection hidden="1"/>
    </xf>
    <xf numFmtId="2" fontId="0" fillId="0" borderId="0" xfId="0" applyNumberFormat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166" fontId="0" fillId="0" borderId="8" xfId="0" applyNumberFormat="1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4" fontId="0" fillId="0" borderId="16" xfId="0" applyNumberFormat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horizontal="right"/>
      <protection hidden="1"/>
    </xf>
    <xf numFmtId="4" fontId="0" fillId="0" borderId="17" xfId="0" applyNumberFormat="1" applyFill="1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166" fontId="0" fillId="0" borderId="11" xfId="0" applyNumberFormat="1" applyBorder="1" applyAlignment="1" applyProtection="1">
      <alignment horizontal="center" vertical="center"/>
      <protection hidden="1"/>
    </xf>
    <xf numFmtId="164" fontId="0" fillId="0" borderId="17" xfId="0" applyNumberFormat="1" applyFill="1" applyBorder="1" applyAlignment="1" applyProtection="1">
      <alignment horizontal="left"/>
      <protection hidden="1"/>
    </xf>
    <xf numFmtId="164" fontId="0" fillId="0" borderId="0" xfId="0" applyNumberFormat="1" applyFill="1" applyBorder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4" fontId="0" fillId="0" borderId="5" xfId="0" applyNumberFormat="1" applyBorder="1" applyAlignment="1" applyProtection="1">
      <alignment horizontal="center" vertical="center"/>
      <protection hidden="1"/>
    </xf>
    <xf numFmtId="10" fontId="0" fillId="4" borderId="0" xfId="0" applyNumberFormat="1" applyFill="1" applyBorder="1" applyAlignment="1" applyProtection="1">
      <alignment horizontal="center"/>
      <protection hidden="1"/>
    </xf>
    <xf numFmtId="10" fontId="0" fillId="0" borderId="0" xfId="0" applyNumberFormat="1" applyFill="1" applyBorder="1" applyAlignment="1" applyProtection="1">
      <alignment horizontal="center"/>
      <protection hidden="1"/>
    </xf>
    <xf numFmtId="0" fontId="0" fillId="0" borderId="30" xfId="0" applyFont="1" applyFill="1" applyBorder="1" applyAlignment="1" applyProtection="1">
      <alignment horizontal="center" vertical="center" wrapText="1"/>
      <protection hidden="1"/>
    </xf>
    <xf numFmtId="0" fontId="0" fillId="0" borderId="31" xfId="0" applyFont="1" applyFill="1" applyBorder="1" applyAlignment="1" applyProtection="1">
      <alignment horizontal="center" vertical="center" wrapText="1"/>
      <protection hidden="1"/>
    </xf>
    <xf numFmtId="0" fontId="0" fillId="0" borderId="32" xfId="0" applyFont="1" applyFill="1" applyBorder="1" applyAlignment="1" applyProtection="1">
      <alignment horizontal="center" vertical="center" wrapText="1"/>
      <protection hidden="1"/>
    </xf>
    <xf numFmtId="0" fontId="0" fillId="0" borderId="33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34" xfId="0" applyFont="1" applyFill="1" applyBorder="1" applyAlignment="1" applyProtection="1">
      <alignment horizontal="center" vertical="center" wrapText="1"/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/>
      <protection hidden="1"/>
    </xf>
    <xf numFmtId="4" fontId="0" fillId="0" borderId="0" xfId="0" applyNumberFormat="1" applyBorder="1" applyProtection="1"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0" fontId="0" fillId="0" borderId="35" xfId="0" applyFont="1" applyFill="1" applyBorder="1" applyAlignment="1" applyProtection="1">
      <alignment horizontal="center" vertical="center" wrapText="1"/>
      <protection hidden="1"/>
    </xf>
    <xf numFmtId="0" fontId="0" fillId="0" borderId="36" xfId="0" applyFont="1" applyFill="1" applyBorder="1" applyAlignment="1" applyProtection="1">
      <alignment horizontal="center" vertical="center" wrapText="1"/>
      <protection hidden="1"/>
    </xf>
    <xf numFmtId="0" fontId="0" fillId="0" borderId="37" xfId="0" applyFont="1" applyFill="1" applyBorder="1" applyAlignment="1" applyProtection="1">
      <alignment horizontal="center" vertical="center" wrapText="1"/>
      <protection hidden="1"/>
    </xf>
    <xf numFmtId="0" fontId="0" fillId="0" borderId="4" xfId="0" applyFill="1" applyBorder="1" applyAlignment="1" applyProtection="1">
      <alignment wrapText="1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15" xfId="0" applyFill="1" applyBorder="1" applyAlignment="1" applyProtection="1">
      <alignment horizontal="center"/>
      <protection hidden="1"/>
    </xf>
    <xf numFmtId="0" fontId="0" fillId="0" borderId="16" xfId="0" applyFill="1" applyBorder="1" applyAlignment="1" applyProtection="1">
      <alignment horizontal="center"/>
      <protection hidden="1"/>
    </xf>
    <xf numFmtId="4" fontId="0" fillId="0" borderId="16" xfId="0" applyNumberFormat="1" applyFill="1" applyBorder="1" applyAlignment="1" applyProtection="1">
      <alignment horizontal="center"/>
      <protection hidden="1"/>
    </xf>
    <xf numFmtId="0" fontId="0" fillId="0" borderId="17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right"/>
      <protection hidden="1"/>
    </xf>
    <xf numFmtId="10" fontId="0" fillId="0" borderId="0" xfId="0" applyNumberFormat="1" applyFill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8" fillId="0" borderId="23" xfId="0" applyFont="1" applyBorder="1" applyAlignment="1" applyProtection="1">
      <alignment horizontal="center" vertical="center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3" fontId="0" fillId="0" borderId="7" xfId="0" applyNumberFormat="1" applyFill="1" applyBorder="1" applyAlignment="1" applyProtection="1">
      <alignment horizontal="center" vertical="center"/>
      <protection hidden="1"/>
    </xf>
    <xf numFmtId="4" fontId="0" fillId="7" borderId="7" xfId="0" applyNumberFormat="1" applyFill="1" applyBorder="1" applyAlignment="1" applyProtection="1">
      <alignment horizontal="center" vertical="center"/>
      <protection hidden="1"/>
    </xf>
    <xf numFmtId="3" fontId="0" fillId="5" borderId="7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/>
      <protection hidden="1"/>
    </xf>
    <xf numFmtId="3" fontId="0" fillId="7" borderId="7" xfId="0" applyNumberForma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65" fontId="0" fillId="0" borderId="7" xfId="0" applyNumberFormat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165" fontId="0" fillId="0" borderId="7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Fill="1" applyBorder="1" applyAlignment="1" applyProtection="1">
      <alignment horizont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3" fontId="2" fillId="3" borderId="7" xfId="0" applyNumberFormat="1" applyFont="1" applyFill="1" applyBorder="1" applyAlignment="1" applyProtection="1">
      <alignment horizontal="center" vertical="center"/>
      <protection hidden="1"/>
    </xf>
    <xf numFmtId="165" fontId="2" fillId="3" borderId="7" xfId="0" applyNumberFormat="1" applyFont="1" applyFill="1" applyBorder="1" applyAlignment="1" applyProtection="1">
      <alignment horizontal="center" vertical="center"/>
      <protection hidden="1"/>
    </xf>
    <xf numFmtId="3" fontId="2" fillId="3" borderId="7" xfId="0" applyNumberFormat="1" applyFont="1" applyFill="1" applyBorder="1" applyAlignment="1" applyProtection="1">
      <alignment horizontal="center"/>
      <protection hidden="1"/>
    </xf>
    <xf numFmtId="3" fontId="0" fillId="0" borderId="0" xfId="0" applyNumberFormat="1" applyProtection="1">
      <protection hidden="1"/>
    </xf>
    <xf numFmtId="3" fontId="0" fillId="2" borderId="7" xfId="0" applyNumberFormat="1" applyFill="1" applyBorder="1" applyAlignment="1" applyProtection="1">
      <alignment horizontal="center" vertical="center"/>
      <protection hidden="1"/>
    </xf>
    <xf numFmtId="165" fontId="0" fillId="0" borderId="0" xfId="0" applyNumberForma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/>
      <protection hidden="1"/>
    </xf>
    <xf numFmtId="2" fontId="0" fillId="6" borderId="7" xfId="0" applyNumberForma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/>
      <protection hidden="1"/>
    </xf>
    <xf numFmtId="10" fontId="0" fillId="6" borderId="7" xfId="0" applyNumberFormat="1" applyFill="1" applyBorder="1" applyAlignment="1" applyProtection="1">
      <alignment horizontal="center"/>
      <protection hidden="1"/>
    </xf>
    <xf numFmtId="10" fontId="0" fillId="0" borderId="0" xfId="0" applyNumberFormat="1" applyProtection="1">
      <protection hidden="1"/>
    </xf>
    <xf numFmtId="10" fontId="0" fillId="0" borderId="0" xfId="0" applyNumberFormat="1" applyFill="1" applyProtection="1">
      <protection hidden="1"/>
    </xf>
    <xf numFmtId="1" fontId="0" fillId="0" borderId="0" xfId="0" applyNumberForma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PT" sz="1100"/>
              <a:t>Investimento</a:t>
            </a:r>
            <a:r>
              <a:rPr lang="pt-PT" sz="1100" baseline="0"/>
              <a:t> vs Redução de custos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Chillers!$J$57</c:f>
              <c:strCache>
                <c:ptCount val="1"/>
                <c:pt idx="0">
                  <c:v>Investimento Acumulado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Chillers!$B$59:$B$79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Chillers!$J$59:$J$79</c:f>
              <c:numCache>
                <c:formatCode>#,##0</c:formatCode>
                <c:ptCount val="21"/>
                <c:pt idx="0">
                  <c:v>895000</c:v>
                </c:pt>
                <c:pt idx="1">
                  <c:v>902000</c:v>
                </c:pt>
                <c:pt idx="2">
                  <c:v>909175</c:v>
                </c:pt>
                <c:pt idx="3">
                  <c:v>916529.375</c:v>
                </c:pt>
                <c:pt idx="4">
                  <c:v>924067.609375</c:v>
                </c:pt>
                <c:pt idx="5">
                  <c:v>931794.29960937495</c:v>
                </c:pt>
                <c:pt idx="6">
                  <c:v>939714.15709960938</c:v>
                </c:pt>
                <c:pt idx="7">
                  <c:v>947832.01102709956</c:v>
                </c:pt>
                <c:pt idx="8">
                  <c:v>956152.81130277703</c:v>
                </c:pt>
                <c:pt idx="9">
                  <c:v>964681.63158534642</c:v>
                </c:pt>
                <c:pt idx="10">
                  <c:v>973423.67237498006</c:v>
                </c:pt>
                <c:pt idx="11">
                  <c:v>982384.26418435457</c:v>
                </c:pt>
                <c:pt idx="12">
                  <c:v>991568.8707889634</c:v>
                </c:pt>
                <c:pt idx="13">
                  <c:v>1000983.0925586874</c:v>
                </c:pt>
                <c:pt idx="14">
                  <c:v>1010632.6698726546</c:v>
                </c:pt>
                <c:pt idx="15">
                  <c:v>1020523.486619471</c:v>
                </c:pt>
                <c:pt idx="16">
                  <c:v>1030661.5737849578</c:v>
                </c:pt>
                <c:pt idx="17">
                  <c:v>1041053.1131295817</c:v>
                </c:pt>
                <c:pt idx="18">
                  <c:v>1051704.4409578212</c:v>
                </c:pt>
                <c:pt idx="19">
                  <c:v>1062622.0519817667</c:v>
                </c:pt>
                <c:pt idx="20">
                  <c:v>1073812.603281311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Chillers!$K$57</c:f>
              <c:strCache>
                <c:ptCount val="1"/>
                <c:pt idx="0">
                  <c:v>Redução de custos acumulado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Chillers!$B$59:$B$79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Chillers!$K$59:$K$79</c:f>
              <c:numCache>
                <c:formatCode>#,##0</c:formatCode>
                <c:ptCount val="21"/>
                <c:pt idx="1">
                  <c:v>87451.394109794783</c:v>
                </c:pt>
                <c:pt idx="2">
                  <c:v>177089.07307233443</c:v>
                </c:pt>
                <c:pt idx="3">
                  <c:v>268967.69400893757</c:v>
                </c:pt>
                <c:pt idx="4">
                  <c:v>363143.28046895575</c:v>
                </c:pt>
                <c:pt idx="5">
                  <c:v>459673.2565904744</c:v>
                </c:pt>
                <c:pt idx="6">
                  <c:v>558616.48211503099</c:v>
                </c:pt>
                <c:pt idx="7">
                  <c:v>660033.28827770147</c:v>
                </c:pt>
                <c:pt idx="8">
                  <c:v>763985.51459443872</c:v>
                </c:pt>
                <c:pt idx="9">
                  <c:v>870536.54656909441</c:v>
                </c:pt>
                <c:pt idx="10">
                  <c:v>979751.35434311652</c:v>
                </c:pt>
                <c:pt idx="11">
                  <c:v>1091696.5323114891</c:v>
                </c:pt>
                <c:pt idx="12">
                  <c:v>1206440.3397290711</c:v>
                </c:pt>
                <c:pt idx="13">
                  <c:v>1324052.7423320927</c:v>
                </c:pt>
                <c:pt idx="14">
                  <c:v>1444605.4550001898</c:v>
                </c:pt>
                <c:pt idx="15">
                  <c:v>1568171.9854849894</c:v>
                </c:pt>
                <c:pt idx="16">
                  <c:v>1694827.6792319089</c:v>
                </c:pt>
                <c:pt idx="17">
                  <c:v>1824649.7653225013</c:v>
                </c:pt>
                <c:pt idx="18">
                  <c:v>1957717.4035653586</c:v>
                </c:pt>
                <c:pt idx="19">
                  <c:v>2094111.7327642874</c:v>
                </c:pt>
                <c:pt idx="20">
                  <c:v>2233915.9201931893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98656"/>
        <c:axId val="93033600"/>
      </c:lineChart>
      <c:catAx>
        <c:axId val="9299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Anos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93033600"/>
        <c:crosses val="autoZero"/>
        <c:auto val="1"/>
        <c:lblAlgn val="ctr"/>
        <c:lblOffset val="100"/>
        <c:noMultiLvlLbl val="0"/>
      </c:catAx>
      <c:valAx>
        <c:axId val="9303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Euros (€)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9299865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660699397869384"/>
          <c:y val="0.89986222526932669"/>
          <c:w val="0.69857029879998622"/>
          <c:h val="7.2408153818608975E-2"/>
        </c:manualLayout>
      </c:layout>
      <c:overlay val="0"/>
      <c:txPr>
        <a:bodyPr/>
        <a:lstStyle/>
        <a:p>
          <a:pPr>
            <a:defRPr sz="800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47623</xdr:colOff>
      <xdr:row>82</xdr:row>
      <xdr:rowOff>47624</xdr:rowOff>
    </xdr:from>
    <xdr:to>
      <xdr:col>8</xdr:col>
      <xdr:colOff>314324</xdr:colOff>
      <xdr:row>100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314325</xdr:colOff>
      <xdr:row>59</xdr:row>
      <xdr:rowOff>38100</xdr:rowOff>
    </xdr:from>
    <xdr:to>
      <xdr:col>18</xdr:col>
      <xdr:colOff>457200</xdr:colOff>
      <xdr:row>60</xdr:row>
      <xdr:rowOff>38100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1458575"/>
          <a:ext cx="4648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114301</xdr:colOff>
      <xdr:row>46</xdr:row>
      <xdr:rowOff>0</xdr:rowOff>
    </xdr:from>
    <xdr:to>
      <xdr:col>13</xdr:col>
      <xdr:colOff>10887</xdr:colOff>
      <xdr:row>48</xdr:row>
      <xdr:rowOff>0</xdr:rowOff>
    </xdr:to>
    <xdr:cxnSp macro="">
      <xdr:nvCxnSpPr>
        <xdr:cNvPr id="5" name="Conexão em ângulos rectos 4"/>
        <xdr:cNvCxnSpPr/>
      </xdr:nvCxnSpPr>
      <xdr:spPr>
        <a:xfrm rot="10800000" flipV="1">
          <a:off x="6460672" y="8839200"/>
          <a:ext cx="2808515" cy="381000"/>
        </a:xfrm>
        <a:prstGeom prst="bentConnector3">
          <a:avLst>
            <a:gd name="adj1" fmla="val 194"/>
          </a:avLst>
        </a:prstGeom>
        <a:ln w="22225">
          <a:solidFill>
            <a:schemeClr val="tx2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0.4677</cdr:x>
      <cdr:y>0.30591</cdr:y>
    </cdr:from>
    <cdr:to>
      <cdr:x>0.55941</cdr:x>
      <cdr:y>0.46474</cdr:y>
    </cdr:to>
    <cdr:cxnSp macro="">
      <cdr:nvCxnSpPr>
        <cdr:cNvPr id="3" name="Conexão em ângulos rectos 2"/>
        <cdr:cNvCxnSpPr/>
      </cdr:nvCxnSpPr>
      <cdr:spPr>
        <a:xfrm xmlns:a="http://schemas.openxmlformats.org/drawingml/2006/main" rot="16200000" flipH="1">
          <a:off x="2389478" y="1080012"/>
          <a:ext cx="543124" cy="475170"/>
        </a:xfrm>
        <a:prstGeom xmlns:a="http://schemas.openxmlformats.org/drawingml/2006/main" prst="bentConnector3">
          <a:avLst>
            <a:gd name="adj1" fmla="val 50000"/>
          </a:avLst>
        </a:prstGeom>
        <a:ln xmlns:a="http://schemas.openxmlformats.org/drawingml/2006/main">
          <a:solidFill>
            <a:schemeClr val="tx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0.30505</cdr:x>
      <cdr:y>0.2312</cdr:y>
    </cdr:from>
    <cdr:to>
      <cdr:x>0.63066</cdr:x>
      <cdr:y>0.30746</cdr:y>
    </cdr:to>
    <cdr:sp macro="" textlink="">
      <cdr:nvSpPr>
        <cdr:cNvPr id="13" name="CaixaDeTexto 12"/>
        <cdr:cNvSpPr txBox="1"/>
      </cdr:nvSpPr>
      <cdr:spPr>
        <a:xfrm xmlns:a="http://schemas.openxmlformats.org/drawingml/2006/main">
          <a:off x="1580668" y="790576"/>
          <a:ext cx="1687135" cy="26076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2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000" i="1">
              <a:effectLst/>
              <a:latin typeface="+mn-lt"/>
              <a:ea typeface="+mn-ea"/>
              <a:cs typeface="+mn-cs"/>
            </a:rPr>
            <a:t>Payback Period</a:t>
          </a:r>
          <a:r>
            <a:rPr lang="pt-PT" sz="1000">
              <a:effectLst/>
              <a:latin typeface="+mn-lt"/>
              <a:ea typeface="+mn-ea"/>
              <a:cs typeface="+mn-cs"/>
            </a:rPr>
            <a:t> = 9,94 anos</a:t>
          </a:r>
          <a:endParaRPr lang="pt-PT" sz="1000">
            <a:effectLst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DEZEMBRO/Consumo%20Chillers_Torres_Bombas_2012%20(30.12.1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Janeiro/Gr&#225;ficos%20Consumos%20(19.01.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6">
          <cell r="N36">
            <v>164983</v>
          </cell>
        </row>
        <row r="72">
          <cell r="N72">
            <v>168687</v>
          </cell>
        </row>
        <row r="108">
          <cell r="N108">
            <v>151071</v>
          </cell>
        </row>
        <row r="144">
          <cell r="N144">
            <v>155236</v>
          </cell>
        </row>
        <row r="179">
          <cell r="N179">
            <v>282209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is 2012 MOD's"/>
      <sheetName val="Globais 07-12 MOD's"/>
      <sheetName val="Mensais 07-12 MOD's"/>
      <sheetName val="FimOcup.BB_2"/>
      <sheetName val="Regressão_1"/>
      <sheetName val="Regressão_2"/>
      <sheetName val="Regressão_3"/>
      <sheetName val="FimOcup._3"/>
      <sheetName val="Chillers_3"/>
      <sheetName val="FimOcup.Foyer_2"/>
      <sheetName val="Chillers_1"/>
      <sheetName val="Chillers_2"/>
      <sheetName val="Indicadores"/>
    </sheetNames>
    <sheetDataSet>
      <sheetData sheetId="0"/>
      <sheetData sheetId="1">
        <row r="198">
          <cell r="B198">
            <v>181181.18840875968</v>
          </cell>
          <cell r="C198">
            <v>159434.42486170167</v>
          </cell>
          <cell r="D198">
            <v>720773.58958663931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82"/>
  <sheetViews>
    <sheetView tabSelected="1" zoomScaleNormal="100" workbookViewId="0">
      <selection activeCell="I6" sqref="I6"/>
    </sheetView>
  </sheetViews>
  <sheetFormatPr defaultRowHeight="15" x14ac:dyDescent="0.25"/>
  <cols>
    <col min="1" max="2" width="9.140625" style="1"/>
    <col min="3" max="3" width="11.28515625" style="1" customWidth="1"/>
    <col min="4" max="4" width="10.140625" style="1" bestFit="1" customWidth="1"/>
    <col min="5" max="5" width="10.140625" style="1" customWidth="1"/>
    <col min="6" max="6" width="10.5703125" style="1" customWidth="1"/>
    <col min="7" max="7" width="11.5703125" style="1" customWidth="1"/>
    <col min="8" max="8" width="10.85546875" style="1" bestFit="1" customWidth="1"/>
    <col min="9" max="9" width="12.28515625" style="1" customWidth="1"/>
    <col min="10" max="10" width="11.5703125" style="1" customWidth="1"/>
    <col min="11" max="11" width="11.140625" style="1" customWidth="1"/>
    <col min="12" max="14" width="10.42578125" style="1" customWidth="1"/>
    <col min="15" max="15" width="9.5703125" style="1" customWidth="1"/>
    <col min="16" max="16" width="10.28515625" style="1" bestFit="1" customWidth="1"/>
    <col min="17" max="17" width="10.28515625" style="2" customWidth="1"/>
    <col min="18" max="18" width="16.5703125" style="1" customWidth="1"/>
    <col min="19" max="21" width="9.140625" style="1"/>
    <col min="22" max="22" width="11" style="1" customWidth="1"/>
    <col min="23" max="23" width="12.42578125" style="1" customWidth="1"/>
    <col min="24" max="16384" width="9.140625" style="1"/>
  </cols>
  <sheetData>
    <row r="1" spans="2:22" ht="15.75" thickBot="1" x14ac:dyDescent="0.3">
      <c r="S1" s="3"/>
      <c r="T1" s="3"/>
      <c r="U1" s="3"/>
      <c r="V1" s="3"/>
    </row>
    <row r="2" spans="2:22" x14ac:dyDescent="0.25">
      <c r="B2" s="4" t="s">
        <v>47</v>
      </c>
      <c r="C2" s="5"/>
      <c r="D2" s="5"/>
      <c r="E2" s="5"/>
      <c r="F2" s="5"/>
      <c r="G2" s="5"/>
      <c r="H2" s="5"/>
      <c r="I2" s="5"/>
      <c r="J2" s="6"/>
      <c r="L2" s="4" t="s">
        <v>0</v>
      </c>
      <c r="M2" s="5"/>
      <c r="N2" s="5"/>
      <c r="O2" s="5"/>
      <c r="P2" s="6"/>
      <c r="Q2" s="7"/>
      <c r="S2" s="8" t="s">
        <v>1</v>
      </c>
      <c r="T2" s="9"/>
      <c r="U2" s="9"/>
      <c r="V2" s="10"/>
    </row>
    <row r="3" spans="2:22" x14ac:dyDescent="0.25">
      <c r="B3" s="11"/>
      <c r="C3" s="3"/>
      <c r="D3" s="3"/>
      <c r="E3" s="3"/>
      <c r="F3" s="3"/>
      <c r="G3" s="3"/>
      <c r="H3" s="12" t="s">
        <v>2</v>
      </c>
      <c r="I3" s="13">
        <f>[1]Folha1!$N$36</f>
        <v>164983</v>
      </c>
      <c r="J3" s="14"/>
      <c r="L3" s="11"/>
      <c r="M3" s="3"/>
      <c r="N3" s="12" t="s">
        <v>63</v>
      </c>
      <c r="O3" s="15">
        <v>0.12</v>
      </c>
      <c r="P3" s="14"/>
      <c r="Q3" s="16"/>
      <c r="S3" s="17" t="s">
        <v>3</v>
      </c>
      <c r="T3" s="18"/>
      <c r="U3" s="18"/>
      <c r="V3" s="19"/>
    </row>
    <row r="4" spans="2:22" x14ac:dyDescent="0.25">
      <c r="B4" s="11"/>
      <c r="C4" s="3"/>
      <c r="D4" s="3"/>
      <c r="E4" s="3"/>
      <c r="F4" s="3"/>
      <c r="G4" s="3"/>
      <c r="H4" s="12" t="s">
        <v>4</v>
      </c>
      <c r="I4" s="13">
        <f>[1]Folha1!$N$72</f>
        <v>168687</v>
      </c>
      <c r="J4" s="14"/>
      <c r="L4" s="11"/>
      <c r="M4" s="3"/>
      <c r="N4" s="12" t="s">
        <v>54</v>
      </c>
      <c r="O4" s="20">
        <v>5.3999999999999999E-2</v>
      </c>
      <c r="P4" s="14"/>
      <c r="Q4" s="16"/>
      <c r="S4" s="21" t="s">
        <v>83</v>
      </c>
      <c r="T4" s="22"/>
      <c r="U4" s="22"/>
      <c r="V4" s="23">
        <f>P7</f>
        <v>150000</v>
      </c>
    </row>
    <row r="5" spans="2:22" x14ac:dyDescent="0.25">
      <c r="B5" s="11"/>
      <c r="C5" s="3"/>
      <c r="D5" s="3"/>
      <c r="E5" s="3"/>
      <c r="F5" s="3"/>
      <c r="G5" s="3"/>
      <c r="H5" s="12" t="s">
        <v>6</v>
      </c>
      <c r="I5" s="13">
        <f>[1]Folha1!$N$108</f>
        <v>151071</v>
      </c>
      <c r="J5" s="14"/>
      <c r="L5" s="24"/>
      <c r="M5" s="25"/>
      <c r="N5" s="25"/>
      <c r="O5" s="25"/>
      <c r="P5" s="26"/>
      <c r="Q5" s="16"/>
      <c r="S5" s="21" t="s">
        <v>84</v>
      </c>
      <c r="T5" s="22"/>
      <c r="U5" s="22"/>
      <c r="V5" s="23">
        <f>P9</f>
        <v>80000</v>
      </c>
    </row>
    <row r="6" spans="2:22" x14ac:dyDescent="0.25">
      <c r="B6" s="11"/>
      <c r="C6" s="3"/>
      <c r="D6" s="3"/>
      <c r="E6" s="3"/>
      <c r="F6" s="3"/>
      <c r="G6" s="3"/>
      <c r="H6" s="12" t="s">
        <v>9</v>
      </c>
      <c r="I6" s="13">
        <f>SUM(I3:I5)</f>
        <v>484741</v>
      </c>
      <c r="J6" s="14"/>
      <c r="L6" s="11"/>
      <c r="M6" s="3"/>
      <c r="N6" s="3"/>
      <c r="O6" s="12" t="s">
        <v>7</v>
      </c>
      <c r="P6" s="14"/>
      <c r="Q6" s="16"/>
      <c r="R6" s="2"/>
      <c r="S6" s="27" t="s">
        <v>5</v>
      </c>
      <c r="T6" s="28"/>
      <c r="U6" s="28"/>
      <c r="V6" s="23">
        <f>P12</f>
        <v>530000</v>
      </c>
    </row>
    <row r="7" spans="2:22" x14ac:dyDescent="0.25">
      <c r="B7" s="29"/>
      <c r="C7" s="30"/>
      <c r="D7" s="30"/>
      <c r="E7" s="30"/>
      <c r="F7" s="31"/>
      <c r="G7" s="31"/>
      <c r="H7" s="32"/>
      <c r="I7" s="30"/>
      <c r="J7" s="33"/>
      <c r="L7" s="11"/>
      <c r="M7" s="3"/>
      <c r="N7" s="3"/>
      <c r="O7" s="12" t="s">
        <v>10</v>
      </c>
      <c r="P7" s="34">
        <v>150000</v>
      </c>
      <c r="Q7" s="35"/>
      <c r="R7" s="2"/>
      <c r="S7" s="36"/>
      <c r="T7" s="37"/>
      <c r="U7" s="37"/>
      <c r="V7" s="38"/>
    </row>
    <row r="8" spans="2:22" x14ac:dyDescent="0.25">
      <c r="B8" s="11"/>
      <c r="C8" s="3"/>
      <c r="D8" s="3"/>
      <c r="E8" s="3"/>
      <c r="F8" s="3"/>
      <c r="G8" s="3"/>
      <c r="H8" s="12" t="s">
        <v>12</v>
      </c>
      <c r="I8" s="39">
        <v>1050</v>
      </c>
      <c r="J8" s="14"/>
      <c r="L8" s="11"/>
      <c r="M8" s="3"/>
      <c r="N8" s="3"/>
      <c r="O8" s="12"/>
      <c r="P8" s="34"/>
      <c r="Q8" s="35"/>
      <c r="R8" s="2"/>
      <c r="S8" s="27" t="s">
        <v>11</v>
      </c>
      <c r="T8" s="28"/>
      <c r="U8" s="28"/>
      <c r="V8" s="40"/>
    </row>
    <row r="9" spans="2:22" x14ac:dyDescent="0.25">
      <c r="B9" s="11"/>
      <c r="C9" s="3"/>
      <c r="D9" s="3"/>
      <c r="E9" s="3"/>
      <c r="F9" s="3"/>
      <c r="G9" s="3"/>
      <c r="H9" s="12" t="s">
        <v>14</v>
      </c>
      <c r="I9" s="39">
        <v>1115</v>
      </c>
      <c r="J9" s="14"/>
      <c r="L9" s="11"/>
      <c r="M9" s="3"/>
      <c r="N9" s="3"/>
      <c r="O9" s="12" t="s">
        <v>15</v>
      </c>
      <c r="P9" s="34">
        <v>80000</v>
      </c>
      <c r="Q9" s="35"/>
      <c r="R9" s="2"/>
      <c r="S9" s="21" t="s">
        <v>83</v>
      </c>
      <c r="T9" s="22"/>
      <c r="U9" s="22"/>
      <c r="V9" s="23">
        <f>P18</f>
        <v>55000</v>
      </c>
    </row>
    <row r="10" spans="2:22" x14ac:dyDescent="0.25">
      <c r="B10" s="11"/>
      <c r="C10" s="3"/>
      <c r="D10" s="3"/>
      <c r="E10" s="3"/>
      <c r="F10" s="3"/>
      <c r="G10" s="3"/>
      <c r="H10" s="12" t="s">
        <v>16</v>
      </c>
      <c r="I10" s="39">
        <v>1107</v>
      </c>
      <c r="J10" s="14"/>
      <c r="K10" s="2"/>
      <c r="L10" s="11"/>
      <c r="M10" s="3"/>
      <c r="N10" s="3"/>
      <c r="O10" s="3"/>
      <c r="P10" s="14"/>
      <c r="Q10" s="16"/>
      <c r="R10" s="2"/>
      <c r="S10" s="27" t="s">
        <v>5</v>
      </c>
      <c r="T10" s="28"/>
      <c r="U10" s="28"/>
      <c r="V10" s="23">
        <f>P19</f>
        <v>165000</v>
      </c>
    </row>
    <row r="11" spans="2:22" x14ac:dyDescent="0.25">
      <c r="B11" s="29"/>
      <c r="C11" s="30"/>
      <c r="D11" s="30"/>
      <c r="E11" s="30"/>
      <c r="F11" s="30"/>
      <c r="G11" s="30"/>
      <c r="H11" s="30"/>
      <c r="I11" s="30"/>
      <c r="J11" s="33"/>
      <c r="L11" s="11"/>
      <c r="M11" s="3"/>
      <c r="N11" s="3"/>
      <c r="O11" s="12" t="s">
        <v>51</v>
      </c>
      <c r="P11" s="41"/>
      <c r="Q11" s="16"/>
      <c r="S11" s="36"/>
      <c r="T11" s="37"/>
      <c r="U11" s="37"/>
      <c r="V11" s="38"/>
    </row>
    <row r="12" spans="2:22" x14ac:dyDescent="0.25">
      <c r="B12" s="11"/>
      <c r="C12" s="3"/>
      <c r="D12" s="3"/>
      <c r="E12" s="3"/>
      <c r="F12" s="3"/>
      <c r="G12" s="3"/>
      <c r="H12" s="12" t="s">
        <v>19</v>
      </c>
      <c r="I12" s="39">
        <v>294</v>
      </c>
      <c r="J12" s="14"/>
      <c r="K12" s="42"/>
      <c r="L12" s="11"/>
      <c r="M12" s="3"/>
      <c r="N12" s="3"/>
      <c r="O12" s="12" t="s">
        <v>52</v>
      </c>
      <c r="P12" s="43">
        <f>(P7*3+P9)</f>
        <v>530000</v>
      </c>
      <c r="Q12" s="44"/>
      <c r="S12" s="27" t="s">
        <v>13</v>
      </c>
      <c r="T12" s="28"/>
      <c r="U12" s="28"/>
      <c r="V12" s="40"/>
    </row>
    <row r="13" spans="2:22" x14ac:dyDescent="0.25">
      <c r="B13" s="11"/>
      <c r="C13" s="3"/>
      <c r="D13" s="3"/>
      <c r="E13" s="3"/>
      <c r="F13" s="3"/>
      <c r="G13" s="3"/>
      <c r="H13" s="12" t="s">
        <v>20</v>
      </c>
      <c r="I13" s="44">
        <v>191</v>
      </c>
      <c r="J13" s="14"/>
      <c r="L13" s="11"/>
      <c r="M13" s="3"/>
      <c r="N13" s="3"/>
      <c r="O13" s="12"/>
      <c r="P13" s="43"/>
      <c r="Q13" s="44"/>
      <c r="S13" s="21" t="s">
        <v>83</v>
      </c>
      <c r="T13" s="22"/>
      <c r="U13" s="22"/>
      <c r="V13" s="23">
        <v>5000</v>
      </c>
    </row>
    <row r="14" spans="2:22" x14ac:dyDescent="0.25">
      <c r="B14" s="29"/>
      <c r="C14" s="30"/>
      <c r="D14" s="30"/>
      <c r="E14" s="30"/>
      <c r="F14" s="30"/>
      <c r="G14" s="30"/>
      <c r="H14" s="30"/>
      <c r="I14" s="31"/>
      <c r="J14" s="33"/>
      <c r="K14" s="2"/>
      <c r="L14" s="11"/>
      <c r="M14" s="3"/>
      <c r="N14" s="3"/>
      <c r="O14" s="12" t="s">
        <v>22</v>
      </c>
      <c r="P14" s="14"/>
      <c r="Q14" s="16"/>
      <c r="S14" s="27" t="s">
        <v>5</v>
      </c>
      <c r="T14" s="28"/>
      <c r="U14" s="28"/>
      <c r="V14" s="23">
        <f>SUM(P25:P26)</f>
        <v>100000</v>
      </c>
    </row>
    <row r="15" spans="2:22" ht="15" customHeight="1" x14ac:dyDescent="0.25">
      <c r="B15" s="11"/>
      <c r="C15" s="3"/>
      <c r="D15" s="3"/>
      <c r="E15" s="3"/>
      <c r="F15" s="3"/>
      <c r="G15" s="3"/>
      <c r="H15" s="12" t="s">
        <v>72</v>
      </c>
      <c r="I15" s="45">
        <f>I3/$I$12</f>
        <v>561.16666666666663</v>
      </c>
      <c r="J15" s="14"/>
      <c r="L15" s="11"/>
      <c r="M15" s="3"/>
      <c r="N15" s="3"/>
      <c r="O15" s="12" t="s">
        <v>21</v>
      </c>
      <c r="P15" s="34">
        <v>7000</v>
      </c>
      <c r="Q15" s="35"/>
      <c r="S15" s="36"/>
      <c r="T15" s="37"/>
      <c r="U15" s="37"/>
      <c r="V15" s="38"/>
    </row>
    <row r="16" spans="2:22" x14ac:dyDescent="0.25">
      <c r="B16" s="11"/>
      <c r="C16" s="3"/>
      <c r="D16" s="3"/>
      <c r="E16" s="3"/>
      <c r="F16" s="3"/>
      <c r="G16" s="3"/>
      <c r="H16" s="12" t="s">
        <v>73</v>
      </c>
      <c r="I16" s="45">
        <f>I4/$I$12</f>
        <v>573.76530612244903</v>
      </c>
      <c r="J16" s="14"/>
      <c r="L16" s="24"/>
      <c r="M16" s="25"/>
      <c r="N16" s="25"/>
      <c r="O16" s="25"/>
      <c r="P16" s="26"/>
      <c r="Q16" s="16"/>
      <c r="S16" s="27" t="s">
        <v>17</v>
      </c>
      <c r="T16" s="28"/>
      <c r="U16" s="28"/>
      <c r="V16" s="40"/>
    </row>
    <row r="17" spans="2:23" x14ac:dyDescent="0.25">
      <c r="B17" s="11"/>
      <c r="C17" s="3"/>
      <c r="D17" s="3"/>
      <c r="E17" s="3"/>
      <c r="F17" s="3"/>
      <c r="G17" s="3"/>
      <c r="H17" s="12" t="s">
        <v>74</v>
      </c>
      <c r="I17" s="45">
        <f>I5/$I$12</f>
        <v>513.84693877551024</v>
      </c>
      <c r="J17" s="14"/>
      <c r="L17" s="11"/>
      <c r="M17" s="3"/>
      <c r="N17" s="3"/>
      <c r="O17" s="12" t="s">
        <v>23</v>
      </c>
      <c r="P17" s="41"/>
      <c r="Q17" s="16"/>
      <c r="S17" s="27" t="s">
        <v>18</v>
      </c>
      <c r="T17" s="28"/>
      <c r="U17" s="28"/>
      <c r="V17" s="23">
        <f>P22</f>
        <v>100000</v>
      </c>
    </row>
    <row r="18" spans="2:23" x14ac:dyDescent="0.25">
      <c r="B18" s="11"/>
      <c r="C18" s="3"/>
      <c r="D18" s="3"/>
      <c r="E18" s="3"/>
      <c r="F18" s="3"/>
      <c r="G18" s="3"/>
      <c r="H18" s="12" t="s">
        <v>75</v>
      </c>
      <c r="I18" s="45">
        <f>I6/$I$12</f>
        <v>1648.7789115646258</v>
      </c>
      <c r="J18" s="14"/>
      <c r="L18" s="11"/>
      <c r="M18" s="3"/>
      <c r="N18" s="3"/>
      <c r="O18" s="12" t="s">
        <v>82</v>
      </c>
      <c r="P18" s="34">
        <v>55000</v>
      </c>
      <c r="Q18" s="35"/>
      <c r="S18" s="24"/>
      <c r="T18" s="25"/>
      <c r="U18" s="25"/>
      <c r="V18" s="26"/>
    </row>
    <row r="19" spans="2:23" x14ac:dyDescent="0.25">
      <c r="B19" s="24"/>
      <c r="C19" s="25"/>
      <c r="D19" s="25"/>
      <c r="E19" s="25"/>
      <c r="F19" s="25"/>
      <c r="G19" s="25"/>
      <c r="H19" s="25"/>
      <c r="I19" s="46"/>
      <c r="J19" s="47"/>
      <c r="L19" s="11"/>
      <c r="M19" s="16"/>
      <c r="N19" s="16"/>
      <c r="O19" s="12" t="s">
        <v>53</v>
      </c>
      <c r="P19" s="48">
        <f>3*P18</f>
        <v>165000</v>
      </c>
      <c r="Q19" s="44"/>
      <c r="S19" s="27" t="s">
        <v>77</v>
      </c>
      <c r="T19" s="28"/>
      <c r="U19" s="28"/>
      <c r="V19" s="49">
        <f>SUM(V6,V10,V14,V17)</f>
        <v>895000</v>
      </c>
    </row>
    <row r="20" spans="2:23" x14ac:dyDescent="0.25">
      <c r="B20" s="11"/>
      <c r="C20" s="3"/>
      <c r="D20" s="3"/>
      <c r="E20" s="3"/>
      <c r="F20" s="3"/>
      <c r="G20" s="3"/>
      <c r="H20" s="12" t="s">
        <v>48</v>
      </c>
      <c r="I20" s="13">
        <f>[1]Folha1!$N$144</f>
        <v>155236</v>
      </c>
      <c r="J20" s="48"/>
      <c r="L20" s="24"/>
      <c r="M20" s="25"/>
      <c r="N20" s="25"/>
      <c r="O20" s="25"/>
      <c r="P20" s="26"/>
      <c r="Q20" s="16"/>
      <c r="S20" s="50"/>
      <c r="T20" s="51"/>
      <c r="U20" s="51"/>
      <c r="V20" s="52"/>
    </row>
    <row r="21" spans="2:23" ht="15.75" thickBot="1" x14ac:dyDescent="0.3">
      <c r="B21" s="11"/>
      <c r="C21" s="3"/>
      <c r="D21" s="3"/>
      <c r="E21" s="3"/>
      <c r="F21" s="3"/>
      <c r="G21" s="3"/>
      <c r="H21" s="3"/>
      <c r="I21" s="12"/>
      <c r="J21" s="48"/>
      <c r="L21" s="11"/>
      <c r="M21" s="3" t="s">
        <v>27</v>
      </c>
      <c r="N21" s="3"/>
      <c r="O21" s="3"/>
      <c r="P21" s="41"/>
      <c r="Q21" s="16"/>
      <c r="S21" s="53" t="s">
        <v>8</v>
      </c>
      <c r="T21" s="54"/>
      <c r="U21" s="54"/>
      <c r="V21" s="55">
        <f>P15</f>
        <v>7000</v>
      </c>
    </row>
    <row r="22" spans="2:23" ht="15.75" thickBot="1" x14ac:dyDescent="0.3">
      <c r="B22" s="11"/>
      <c r="C22" s="3"/>
      <c r="D22" s="3"/>
      <c r="E22" s="3"/>
      <c r="F22" s="3"/>
      <c r="G22" s="3"/>
      <c r="H22" s="12" t="s">
        <v>24</v>
      </c>
      <c r="I22" s="56" t="s">
        <v>25</v>
      </c>
      <c r="J22" s="14"/>
      <c r="L22" s="11"/>
      <c r="M22" s="3"/>
      <c r="N22" s="3"/>
      <c r="O22" s="3"/>
      <c r="P22" s="34">
        <v>100000</v>
      </c>
      <c r="Q22" s="35"/>
    </row>
    <row r="23" spans="2:23" x14ac:dyDescent="0.25">
      <c r="B23" s="11"/>
      <c r="C23" s="3"/>
      <c r="D23" s="3"/>
      <c r="E23" s="3"/>
      <c r="F23" s="3"/>
      <c r="G23" s="3"/>
      <c r="H23" s="12" t="s">
        <v>26</v>
      </c>
      <c r="I23" s="44">
        <v>32.200000000000003</v>
      </c>
      <c r="J23" s="14"/>
      <c r="L23" s="24"/>
      <c r="M23" s="25"/>
      <c r="N23" s="25"/>
      <c r="O23" s="46"/>
      <c r="P23" s="57"/>
      <c r="Q23" s="35"/>
      <c r="R23" s="8" t="s">
        <v>58</v>
      </c>
      <c r="S23" s="9"/>
      <c r="T23" s="9"/>
      <c r="U23" s="9"/>
      <c r="V23" s="9"/>
      <c r="W23" s="58" t="s">
        <v>62</v>
      </c>
    </row>
    <row r="24" spans="2:23" x14ac:dyDescent="0.25">
      <c r="B24" s="24"/>
      <c r="C24" s="25"/>
      <c r="D24" s="25"/>
      <c r="E24" s="25"/>
      <c r="F24" s="25"/>
      <c r="G24" s="25"/>
      <c r="H24" s="25"/>
      <c r="I24" s="25"/>
      <c r="J24" s="26"/>
      <c r="L24" s="11"/>
      <c r="M24" s="3"/>
      <c r="N24" s="3"/>
      <c r="O24" s="59" t="s">
        <v>85</v>
      </c>
      <c r="P24" s="41"/>
      <c r="Q24" s="16"/>
      <c r="R24" s="60" t="s">
        <v>59</v>
      </c>
      <c r="S24" s="28" t="s">
        <v>60</v>
      </c>
      <c r="T24" s="28"/>
      <c r="U24" s="28"/>
      <c r="V24" s="61">
        <f>SUM(F33,F38,F43)</f>
        <v>413074.04693877546</v>
      </c>
      <c r="W24" s="62" t="s">
        <v>78</v>
      </c>
    </row>
    <row r="25" spans="2:23" x14ac:dyDescent="0.25">
      <c r="B25" s="11"/>
      <c r="C25" s="3"/>
      <c r="D25" s="3"/>
      <c r="E25" s="3"/>
      <c r="F25" s="3"/>
      <c r="G25" s="3"/>
      <c r="H25" s="12" t="s">
        <v>76</v>
      </c>
      <c r="I25" s="13">
        <f>[1]Folha1!$N$179</f>
        <v>282209</v>
      </c>
      <c r="J25" s="14"/>
      <c r="L25" s="11"/>
      <c r="M25" s="3"/>
      <c r="N25" s="3"/>
      <c r="O25" s="12" t="s">
        <v>32</v>
      </c>
      <c r="P25" s="34">
        <v>50000</v>
      </c>
      <c r="Q25" s="35"/>
      <c r="R25" s="60"/>
      <c r="S25" s="28" t="s">
        <v>61</v>
      </c>
      <c r="T25" s="28"/>
      <c r="U25" s="28"/>
      <c r="V25" s="61">
        <f>F48</f>
        <v>530694.60142855032</v>
      </c>
      <c r="W25" s="62"/>
    </row>
    <row r="26" spans="2:23" x14ac:dyDescent="0.25">
      <c r="B26" s="24"/>
      <c r="C26" s="25"/>
      <c r="D26" s="46"/>
      <c r="E26" s="46"/>
      <c r="F26" s="63"/>
      <c r="G26" s="25"/>
      <c r="H26" s="25"/>
      <c r="I26" s="46"/>
      <c r="J26" s="57"/>
      <c r="L26" s="11"/>
      <c r="M26" s="3"/>
      <c r="N26" s="64"/>
      <c r="O26" s="12" t="s">
        <v>34</v>
      </c>
      <c r="P26" s="34">
        <v>50000</v>
      </c>
      <c r="Q26" s="35"/>
      <c r="R26" s="65" t="s">
        <v>79</v>
      </c>
      <c r="S26" s="66" t="s">
        <v>80</v>
      </c>
      <c r="T26" s="67"/>
      <c r="U26" s="67"/>
      <c r="V26" s="68"/>
      <c r="W26" s="69">
        <f>F53</f>
        <v>78226.394109794783</v>
      </c>
    </row>
    <row r="27" spans="2:23" ht="15.75" thickBot="1" x14ac:dyDescent="0.3">
      <c r="B27" s="70"/>
      <c r="C27" s="71"/>
      <c r="D27" s="71"/>
      <c r="E27" s="71"/>
      <c r="F27" s="71"/>
      <c r="G27" s="72"/>
      <c r="H27" s="73" t="s">
        <v>49</v>
      </c>
      <c r="I27" s="72">
        <f>SUM('[2]Globais 07-12 MOD''s'!$B$198:$D$198)</f>
        <v>1061389.2028571006</v>
      </c>
      <c r="J27" s="74"/>
      <c r="L27" s="24"/>
      <c r="M27" s="25"/>
      <c r="N27" s="25"/>
      <c r="O27" s="25"/>
      <c r="P27" s="26"/>
      <c r="Q27" s="16"/>
      <c r="R27" s="75"/>
      <c r="S27" s="76" t="s">
        <v>81</v>
      </c>
      <c r="T27" s="77"/>
      <c r="U27" s="77"/>
      <c r="V27" s="78"/>
      <c r="W27" s="79"/>
    </row>
    <row r="28" spans="2:23" x14ac:dyDescent="0.25">
      <c r="F28" s="3"/>
      <c r="G28" s="3"/>
      <c r="H28" s="3"/>
      <c r="I28" s="3"/>
      <c r="L28" s="11"/>
      <c r="M28" s="3"/>
      <c r="N28" s="3"/>
      <c r="O28" s="12" t="s">
        <v>28</v>
      </c>
      <c r="P28" s="41"/>
      <c r="Q28" s="16"/>
    </row>
    <row r="29" spans="2:23" ht="15.75" thickBot="1" x14ac:dyDescent="0.3">
      <c r="K29" s="3"/>
      <c r="L29" s="70"/>
      <c r="M29" s="71"/>
      <c r="N29" s="71"/>
      <c r="O29" s="73" t="s">
        <v>29</v>
      </c>
      <c r="P29" s="80">
        <v>2.5000000000000001E-2</v>
      </c>
      <c r="Q29" s="81"/>
    </row>
    <row r="30" spans="2:23" x14ac:dyDescent="0.25">
      <c r="B30" s="4" t="s">
        <v>30</v>
      </c>
      <c r="C30" s="5"/>
      <c r="D30" s="5"/>
      <c r="E30" s="5"/>
      <c r="F30" s="5"/>
      <c r="G30" s="5"/>
      <c r="H30" s="5"/>
      <c r="I30" s="6"/>
      <c r="K30" s="3"/>
      <c r="L30" s="3"/>
      <c r="M30" s="3"/>
      <c r="N30" s="3"/>
      <c r="O30" s="3"/>
      <c r="P30" s="3"/>
      <c r="Q30" s="16"/>
    </row>
    <row r="31" spans="2:23" x14ac:dyDescent="0.25">
      <c r="B31" s="82" t="s">
        <v>31</v>
      </c>
      <c r="C31" s="83"/>
      <c r="D31" s="83"/>
      <c r="E31" s="83"/>
      <c r="F31" s="83"/>
      <c r="G31" s="83"/>
      <c r="H31" s="83"/>
      <c r="I31" s="84"/>
      <c r="K31" s="3"/>
      <c r="L31" s="3"/>
      <c r="M31" s="3"/>
      <c r="N31" s="3"/>
      <c r="O31" s="3"/>
      <c r="P31" s="3"/>
      <c r="Q31" s="16"/>
    </row>
    <row r="32" spans="2:23" x14ac:dyDescent="0.25">
      <c r="B32" s="11"/>
      <c r="C32" s="3"/>
      <c r="D32" s="3"/>
      <c r="E32" s="12" t="s">
        <v>33</v>
      </c>
      <c r="F32" s="13">
        <f>I13*I18</f>
        <v>314916.77210884355</v>
      </c>
      <c r="G32" s="13"/>
      <c r="H32" s="3"/>
      <c r="I32" s="14"/>
      <c r="K32" s="3"/>
      <c r="L32" s="3"/>
      <c r="M32" s="3"/>
    </row>
    <row r="33" spans="2:16" x14ac:dyDescent="0.25">
      <c r="B33" s="11"/>
      <c r="C33" s="3"/>
      <c r="D33" s="3"/>
      <c r="E33" s="12" t="s">
        <v>35</v>
      </c>
      <c r="F33" s="13">
        <f>I6-F32</f>
        <v>169824.22789115645</v>
      </c>
      <c r="G33" s="85" t="s">
        <v>36</v>
      </c>
      <c r="H33" s="85"/>
      <c r="I33" s="86"/>
      <c r="P33" s="2"/>
    </row>
    <row r="34" spans="2:16" ht="15.75" thickBot="1" x14ac:dyDescent="0.3">
      <c r="B34" s="11"/>
      <c r="C34" s="3"/>
      <c r="D34" s="3"/>
      <c r="E34" s="12" t="s">
        <v>50</v>
      </c>
      <c r="F34" s="13">
        <f>F33*O3</f>
        <v>20378.907346938773</v>
      </c>
      <c r="G34" s="85"/>
      <c r="H34" s="85"/>
      <c r="I34" s="86"/>
      <c r="K34" s="3"/>
      <c r="L34" s="3"/>
      <c r="M34" s="3"/>
      <c r="N34" s="3"/>
      <c r="O34" s="3"/>
      <c r="P34" s="16"/>
    </row>
    <row r="35" spans="2:16" x14ac:dyDescent="0.25">
      <c r="B35" s="11"/>
      <c r="C35" s="3"/>
      <c r="D35" s="3"/>
      <c r="E35" s="12" t="s">
        <v>37</v>
      </c>
      <c r="F35" s="87">
        <f>F33/I6</f>
        <v>0.35034013605442177</v>
      </c>
      <c r="G35" s="88"/>
      <c r="H35" s="3"/>
      <c r="I35" s="14"/>
      <c r="J35" s="11"/>
      <c r="K35" s="89" t="s">
        <v>87</v>
      </c>
      <c r="L35" s="90"/>
      <c r="M35" s="90"/>
      <c r="N35" s="90"/>
      <c r="O35" s="90"/>
      <c r="P35" s="91"/>
    </row>
    <row r="36" spans="2:16" x14ac:dyDescent="0.25">
      <c r="B36" s="82" t="s">
        <v>57</v>
      </c>
      <c r="C36" s="83"/>
      <c r="D36" s="83"/>
      <c r="E36" s="83"/>
      <c r="F36" s="83"/>
      <c r="G36" s="83"/>
      <c r="H36" s="83"/>
      <c r="I36" s="84"/>
      <c r="J36" s="11"/>
      <c r="K36" s="92"/>
      <c r="L36" s="93"/>
      <c r="M36" s="93"/>
      <c r="N36" s="93"/>
      <c r="O36" s="93"/>
      <c r="P36" s="94"/>
    </row>
    <row r="37" spans="2:16" x14ac:dyDescent="0.25">
      <c r="B37" s="95"/>
      <c r="C37" s="3"/>
      <c r="D37" s="12"/>
      <c r="E37" s="12" t="s">
        <v>33</v>
      </c>
      <c r="F37" s="13">
        <f>I23*I18</f>
        <v>53090.680952380957</v>
      </c>
      <c r="G37" s="13"/>
      <c r="H37" s="7"/>
      <c r="I37" s="96"/>
      <c r="J37" s="11"/>
      <c r="K37" s="92"/>
      <c r="L37" s="93"/>
      <c r="M37" s="93"/>
      <c r="N37" s="93"/>
      <c r="O37" s="93"/>
      <c r="P37" s="94"/>
    </row>
    <row r="38" spans="2:16" ht="15" customHeight="1" x14ac:dyDescent="0.25">
      <c r="B38" s="95"/>
      <c r="C38" s="3"/>
      <c r="D38" s="12"/>
      <c r="E38" s="12" t="s">
        <v>35</v>
      </c>
      <c r="F38" s="13">
        <f>I20-F37</f>
        <v>102145.31904761904</v>
      </c>
      <c r="G38" s="85" t="s">
        <v>36</v>
      </c>
      <c r="H38" s="85"/>
      <c r="I38" s="86"/>
      <c r="J38" s="11"/>
      <c r="K38" s="92"/>
      <c r="L38" s="93"/>
      <c r="M38" s="93"/>
      <c r="N38" s="93"/>
      <c r="O38" s="93"/>
      <c r="P38" s="94"/>
    </row>
    <row r="39" spans="2:16" x14ac:dyDescent="0.25">
      <c r="B39" s="11"/>
      <c r="C39" s="3"/>
      <c r="D39" s="12"/>
      <c r="E39" s="12" t="s">
        <v>50</v>
      </c>
      <c r="F39" s="13">
        <f>F38*O3</f>
        <v>12257.438285714285</v>
      </c>
      <c r="G39" s="85"/>
      <c r="H39" s="85"/>
      <c r="I39" s="86"/>
      <c r="J39" s="11"/>
      <c r="K39" s="92"/>
      <c r="L39" s="93"/>
      <c r="M39" s="93"/>
      <c r="N39" s="93"/>
      <c r="O39" s="93"/>
      <c r="P39" s="94"/>
    </row>
    <row r="40" spans="2:16" x14ac:dyDescent="0.25">
      <c r="B40" s="11"/>
      <c r="C40" s="3"/>
      <c r="D40" s="12"/>
      <c r="E40" s="12" t="s">
        <v>37</v>
      </c>
      <c r="F40" s="87">
        <f>F38/I20</f>
        <v>0.65800020000269932</v>
      </c>
      <c r="G40" s="88"/>
      <c r="H40" s="3"/>
      <c r="I40" s="14"/>
      <c r="J40" s="11"/>
      <c r="K40" s="92"/>
      <c r="L40" s="93"/>
      <c r="M40" s="93"/>
      <c r="N40" s="93"/>
      <c r="O40" s="93"/>
      <c r="P40" s="94"/>
    </row>
    <row r="41" spans="2:16" ht="15" customHeight="1" x14ac:dyDescent="0.25">
      <c r="B41" s="82" t="s">
        <v>38</v>
      </c>
      <c r="C41" s="83"/>
      <c r="D41" s="83"/>
      <c r="E41" s="83"/>
      <c r="F41" s="83"/>
      <c r="G41" s="83"/>
      <c r="H41" s="83"/>
      <c r="I41" s="84"/>
      <c r="J41" s="11"/>
      <c r="K41" s="92"/>
      <c r="L41" s="93"/>
      <c r="M41" s="93"/>
      <c r="N41" s="93"/>
      <c r="O41" s="93"/>
      <c r="P41" s="94"/>
    </row>
    <row r="42" spans="2:16" x14ac:dyDescent="0.25">
      <c r="B42" s="11"/>
      <c r="C42" s="3"/>
      <c r="D42" s="12"/>
      <c r="E42" s="12" t="s">
        <v>33</v>
      </c>
      <c r="F42" s="97">
        <f>I25*0.5</f>
        <v>141104.5</v>
      </c>
      <c r="G42" s="3"/>
      <c r="H42" s="3"/>
      <c r="I42" s="14"/>
      <c r="J42" s="11"/>
      <c r="K42" s="92"/>
      <c r="L42" s="93"/>
      <c r="M42" s="93"/>
      <c r="N42" s="93"/>
      <c r="O42" s="93"/>
      <c r="P42" s="94"/>
    </row>
    <row r="43" spans="2:16" x14ac:dyDescent="0.25">
      <c r="B43" s="11"/>
      <c r="C43" s="3"/>
      <c r="D43" s="12"/>
      <c r="E43" s="12" t="s">
        <v>35</v>
      </c>
      <c r="F43" s="97">
        <f>F42</f>
        <v>141104.5</v>
      </c>
      <c r="G43" s="85" t="s">
        <v>36</v>
      </c>
      <c r="H43" s="85"/>
      <c r="I43" s="86"/>
      <c r="J43" s="11"/>
      <c r="K43" s="92"/>
      <c r="L43" s="93"/>
      <c r="M43" s="93"/>
      <c r="N43" s="93"/>
      <c r="O43" s="93"/>
      <c r="P43" s="94"/>
    </row>
    <row r="44" spans="2:16" x14ac:dyDescent="0.25">
      <c r="B44" s="95"/>
      <c r="C44" s="7"/>
      <c r="D44" s="12"/>
      <c r="E44" s="12" t="s">
        <v>50</v>
      </c>
      <c r="F44" s="98">
        <f>F43*O3</f>
        <v>16932.54</v>
      </c>
      <c r="G44" s="85"/>
      <c r="H44" s="85"/>
      <c r="I44" s="86"/>
      <c r="J44" s="11"/>
      <c r="K44" s="92"/>
      <c r="L44" s="93"/>
      <c r="M44" s="93"/>
      <c r="N44" s="93"/>
      <c r="O44" s="93"/>
      <c r="P44" s="94"/>
    </row>
    <row r="45" spans="2:16" x14ac:dyDescent="0.25">
      <c r="B45" s="95"/>
      <c r="C45" s="7"/>
      <c r="D45" s="12"/>
      <c r="E45" s="12" t="s">
        <v>37</v>
      </c>
      <c r="F45" s="87">
        <f>F42/I25</f>
        <v>0.5</v>
      </c>
      <c r="G45" s="98"/>
      <c r="H45" s="7"/>
      <c r="I45" s="96"/>
      <c r="J45" s="11"/>
      <c r="K45" s="92"/>
      <c r="L45" s="93"/>
      <c r="M45" s="93"/>
      <c r="N45" s="93"/>
      <c r="O45" s="93"/>
      <c r="P45" s="94"/>
    </row>
    <row r="46" spans="2:16" ht="15.75" thickBot="1" x14ac:dyDescent="0.3">
      <c r="B46" s="82" t="s">
        <v>64</v>
      </c>
      <c r="C46" s="83"/>
      <c r="D46" s="83"/>
      <c r="E46" s="83"/>
      <c r="F46" s="83"/>
      <c r="G46" s="83"/>
      <c r="H46" s="83"/>
      <c r="I46" s="84"/>
      <c r="J46" s="11"/>
      <c r="K46" s="99"/>
      <c r="L46" s="100"/>
      <c r="M46" s="100"/>
      <c r="N46" s="100"/>
      <c r="O46" s="100"/>
      <c r="P46" s="101"/>
    </row>
    <row r="47" spans="2:16" x14ac:dyDescent="0.25">
      <c r="B47" s="95"/>
      <c r="C47" s="7"/>
      <c r="D47" s="12"/>
      <c r="E47" s="12" t="s">
        <v>33</v>
      </c>
      <c r="F47" s="97">
        <f>I27*0.5</f>
        <v>530694.60142855032</v>
      </c>
      <c r="G47" s="7"/>
      <c r="H47" s="7"/>
      <c r="I47" s="96"/>
      <c r="J47" s="102"/>
      <c r="K47" s="103"/>
      <c r="L47" s="103"/>
      <c r="M47" s="103"/>
      <c r="N47" s="103"/>
      <c r="O47" s="103"/>
    </row>
    <row r="48" spans="2:16" x14ac:dyDescent="0.25">
      <c r="B48" s="95"/>
      <c r="C48" s="7"/>
      <c r="D48" s="12"/>
      <c r="E48" s="12" t="s">
        <v>35</v>
      </c>
      <c r="F48" s="97">
        <f>F47</f>
        <v>530694.60142855032</v>
      </c>
      <c r="G48" s="85" t="s">
        <v>36</v>
      </c>
      <c r="H48" s="85"/>
      <c r="I48" s="86"/>
      <c r="J48" s="102"/>
      <c r="K48" s="103"/>
      <c r="L48" s="103"/>
      <c r="M48" s="103"/>
      <c r="N48" s="103"/>
      <c r="O48" s="103"/>
    </row>
    <row r="49" spans="2:15" x14ac:dyDescent="0.25">
      <c r="B49" s="95"/>
      <c r="C49" s="7"/>
      <c r="D49" s="12"/>
      <c r="E49" s="12" t="s">
        <v>50</v>
      </c>
      <c r="F49" s="13">
        <f>F48*O4</f>
        <v>28657.508477141717</v>
      </c>
      <c r="G49" s="85"/>
      <c r="H49" s="85"/>
      <c r="I49" s="86"/>
      <c r="J49" s="102"/>
      <c r="K49" s="103"/>
      <c r="L49" s="103"/>
      <c r="M49" s="103"/>
      <c r="N49" s="103"/>
      <c r="O49" s="103"/>
    </row>
    <row r="50" spans="2:15" x14ac:dyDescent="0.25">
      <c r="B50" s="95"/>
      <c r="C50" s="7"/>
      <c r="D50" s="12"/>
      <c r="E50" s="12" t="s">
        <v>37</v>
      </c>
      <c r="F50" s="87">
        <f>F47/I27</f>
        <v>0.5</v>
      </c>
      <c r="G50" s="7"/>
      <c r="H50" s="7"/>
      <c r="I50" s="96"/>
      <c r="J50" s="102"/>
      <c r="K50" s="103"/>
      <c r="L50" s="103"/>
      <c r="M50" s="103"/>
      <c r="N50" s="103"/>
      <c r="O50" s="103"/>
    </row>
    <row r="51" spans="2:15" x14ac:dyDescent="0.25">
      <c r="B51" s="82" t="s">
        <v>39</v>
      </c>
      <c r="C51" s="83"/>
      <c r="D51" s="83"/>
      <c r="E51" s="83"/>
      <c r="F51" s="83"/>
      <c r="G51" s="83"/>
      <c r="H51" s="83"/>
      <c r="I51" s="84"/>
    </row>
    <row r="52" spans="2:15" x14ac:dyDescent="0.25">
      <c r="B52" s="95"/>
      <c r="C52" s="7"/>
      <c r="D52" s="3"/>
      <c r="E52" s="12" t="s">
        <v>35</v>
      </c>
      <c r="F52" s="98">
        <f>SUM(F33,F38,F43,F48)</f>
        <v>943768.64836732578</v>
      </c>
      <c r="G52" s="98"/>
      <c r="H52" s="7"/>
      <c r="I52" s="96"/>
    </row>
    <row r="53" spans="2:15" ht="15.75" thickBot="1" x14ac:dyDescent="0.3">
      <c r="B53" s="104"/>
      <c r="C53" s="105"/>
      <c r="D53" s="71"/>
      <c r="E53" s="73" t="s">
        <v>50</v>
      </c>
      <c r="F53" s="106">
        <f>SUM(F34,F39,F44,F49)</f>
        <v>78226.394109794783</v>
      </c>
      <c r="G53" s="106"/>
      <c r="H53" s="105"/>
      <c r="I53" s="107"/>
    </row>
    <row r="54" spans="2:15" x14ac:dyDescent="0.25">
      <c r="B54" s="7"/>
      <c r="C54" s="7"/>
      <c r="D54" s="12"/>
      <c r="E54" s="12"/>
      <c r="F54" s="98"/>
      <c r="G54" s="98"/>
      <c r="H54" s="7"/>
      <c r="I54" s="7"/>
    </row>
    <row r="55" spans="2:15" s="2" customFormat="1" x14ac:dyDescent="0.25">
      <c r="D55" s="108"/>
      <c r="E55" s="108"/>
      <c r="F55" s="109"/>
      <c r="G55" s="109"/>
    </row>
    <row r="56" spans="2:15" x14ac:dyDescent="0.25">
      <c r="B56" s="110" t="s">
        <v>71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1"/>
    </row>
    <row r="57" spans="2:15" ht="24.95" customHeight="1" x14ac:dyDescent="0.25">
      <c r="B57" s="112" t="s">
        <v>40</v>
      </c>
      <c r="C57" s="113" t="s">
        <v>41</v>
      </c>
      <c r="D57" s="114" t="s">
        <v>42</v>
      </c>
      <c r="E57" s="115"/>
      <c r="F57" s="113" t="s">
        <v>65</v>
      </c>
      <c r="G57" s="113" t="s">
        <v>66</v>
      </c>
      <c r="H57" s="112" t="s">
        <v>43</v>
      </c>
      <c r="I57" s="113" t="s">
        <v>44</v>
      </c>
      <c r="J57" s="113" t="s">
        <v>45</v>
      </c>
      <c r="K57" s="113" t="s">
        <v>67</v>
      </c>
    </row>
    <row r="58" spans="2:15" ht="15" customHeight="1" x14ac:dyDescent="0.25">
      <c r="B58" s="116"/>
      <c r="C58" s="117"/>
      <c r="D58" s="118" t="s">
        <v>68</v>
      </c>
      <c r="E58" s="118" t="s">
        <v>69</v>
      </c>
      <c r="F58" s="117"/>
      <c r="G58" s="117"/>
      <c r="H58" s="116"/>
      <c r="I58" s="117"/>
      <c r="J58" s="117"/>
      <c r="K58" s="117"/>
    </row>
    <row r="59" spans="2:15" x14ac:dyDescent="0.25">
      <c r="B59" s="119">
        <v>0</v>
      </c>
      <c r="C59" s="120">
        <f>P12+P19+P22+P25+P26</f>
        <v>895000</v>
      </c>
      <c r="D59" s="121"/>
      <c r="E59" s="121"/>
      <c r="F59" s="121"/>
      <c r="G59" s="121"/>
      <c r="H59" s="61">
        <f>-C59+F59</f>
        <v>-895000</v>
      </c>
      <c r="I59" s="122">
        <f>+H59</f>
        <v>-895000</v>
      </c>
      <c r="J59" s="123">
        <f>+C59</f>
        <v>895000</v>
      </c>
      <c r="K59" s="124"/>
      <c r="M59" s="125" t="s">
        <v>86</v>
      </c>
    </row>
    <row r="60" spans="2:15" x14ac:dyDescent="0.25">
      <c r="B60" s="119">
        <f>+B59+1</f>
        <v>1</v>
      </c>
      <c r="C60" s="61">
        <f>P15</f>
        <v>7000</v>
      </c>
      <c r="D60" s="126">
        <f>O3</f>
        <v>0.12</v>
      </c>
      <c r="E60" s="126">
        <v>5.3999999999999999E-2</v>
      </c>
      <c r="F60" s="61">
        <f>F53</f>
        <v>78226.394109794783</v>
      </c>
      <c r="G60" s="61">
        <f t="shared" ref="G60:G79" si="0">9000*(1+$P$29)^B60</f>
        <v>9225</v>
      </c>
      <c r="H60" s="61">
        <f>-C60+F60+G60</f>
        <v>80451.394109794783</v>
      </c>
      <c r="I60" s="122">
        <f t="shared" ref="I60:I79" si="1">+H60+I59</f>
        <v>-814548.60589020525</v>
      </c>
      <c r="J60" s="123">
        <f>+C60/(1)^B60+J59</f>
        <v>902000</v>
      </c>
      <c r="K60" s="123">
        <f>+(+F60+G60)/(1)^B60</f>
        <v>87451.394109794783</v>
      </c>
    </row>
    <row r="61" spans="2:15" x14ac:dyDescent="0.25">
      <c r="B61" s="119">
        <f>+B60+1</f>
        <v>2</v>
      </c>
      <c r="C61" s="61">
        <f>C60+(C60*$P$29)</f>
        <v>7175</v>
      </c>
      <c r="D61" s="126">
        <f>D60+(D60*$P$29)</f>
        <v>0.123</v>
      </c>
      <c r="E61" s="126">
        <f>E60+(E60*$P$29)</f>
        <v>5.5349999999999996E-2</v>
      </c>
      <c r="F61" s="61">
        <f t="shared" ref="F61:F79" si="2">$V$24*D61+$V$25*E61</f>
        <v>80182.053962539649</v>
      </c>
      <c r="G61" s="61">
        <f t="shared" si="0"/>
        <v>9455.625</v>
      </c>
      <c r="H61" s="61">
        <f t="shared" ref="H61:H79" si="3">-C61+F61+G61</f>
        <v>82462.678962539649</v>
      </c>
      <c r="I61" s="122">
        <f t="shared" si="1"/>
        <v>-732085.9269276656</v>
      </c>
      <c r="J61" s="123">
        <f t="shared" ref="J61:J79" si="4">+C61/(1)^B61+J60</f>
        <v>909175</v>
      </c>
      <c r="K61" s="123">
        <f>+(F61+G61)/(1)^B61+K60</f>
        <v>177089.07307233443</v>
      </c>
    </row>
    <row r="62" spans="2:15" x14ac:dyDescent="0.25">
      <c r="B62" s="119">
        <f t="shared" ref="B62:B78" si="5">+B61+1</f>
        <v>3</v>
      </c>
      <c r="C62" s="61">
        <f t="shared" ref="C62:C79" si="6">C61+(C61*$P$29)</f>
        <v>7354.375</v>
      </c>
      <c r="D62" s="126">
        <f t="shared" ref="D62:D79" si="7">D61+(D61*$P$29)</f>
        <v>0.12607499999999999</v>
      </c>
      <c r="E62" s="126">
        <f t="shared" ref="E62:E79" si="8">E61+(E61*$P$29)</f>
        <v>5.6733749999999999E-2</v>
      </c>
      <c r="F62" s="61">
        <f t="shared" si="2"/>
        <v>82186.605311603125</v>
      </c>
      <c r="G62" s="61">
        <f t="shared" si="0"/>
        <v>9692.0156249999982</v>
      </c>
      <c r="H62" s="61">
        <f t="shared" si="3"/>
        <v>84524.245936603125</v>
      </c>
      <c r="I62" s="122">
        <f t="shared" si="1"/>
        <v>-647561.68099106243</v>
      </c>
      <c r="J62" s="123">
        <f>+C62/(1)^B62+J61</f>
        <v>916529.375</v>
      </c>
      <c r="K62" s="123">
        <f t="shared" ref="K62:K79" si="9">+(F62+G62)/(1)^B62+K61</f>
        <v>268967.69400893757</v>
      </c>
      <c r="M62" s="125"/>
    </row>
    <row r="63" spans="2:15" x14ac:dyDescent="0.25">
      <c r="B63" s="119">
        <f t="shared" si="5"/>
        <v>4</v>
      </c>
      <c r="C63" s="61">
        <f t="shared" si="6"/>
        <v>7538.234375</v>
      </c>
      <c r="D63" s="126">
        <f t="shared" si="7"/>
        <v>0.12922687499999999</v>
      </c>
      <c r="E63" s="126">
        <f t="shared" si="8"/>
        <v>5.8152093750000002E-2</v>
      </c>
      <c r="F63" s="61">
        <f t="shared" si="2"/>
        <v>84241.270444393202</v>
      </c>
      <c r="G63" s="61">
        <f t="shared" si="0"/>
        <v>9934.3160156249978</v>
      </c>
      <c r="H63" s="61">
        <f>-C63+F63+G63</f>
        <v>86637.352085018196</v>
      </c>
      <c r="I63" s="122">
        <f t="shared" si="1"/>
        <v>-560924.32890604425</v>
      </c>
      <c r="J63" s="123">
        <f t="shared" si="4"/>
        <v>924067.609375</v>
      </c>
      <c r="K63" s="123">
        <f t="shared" si="9"/>
        <v>363143.28046895575</v>
      </c>
    </row>
    <row r="64" spans="2:15" x14ac:dyDescent="0.25">
      <c r="B64" s="119">
        <f t="shared" si="5"/>
        <v>5</v>
      </c>
      <c r="C64" s="61">
        <f t="shared" si="6"/>
        <v>7726.6902343749998</v>
      </c>
      <c r="D64" s="126">
        <f t="shared" si="7"/>
        <v>0.132457546875</v>
      </c>
      <c r="E64" s="126">
        <f t="shared" si="8"/>
        <v>5.9605896093749999E-2</v>
      </c>
      <c r="F64" s="61">
        <f t="shared" si="2"/>
        <v>86347.302205503045</v>
      </c>
      <c r="G64" s="61">
        <f t="shared" si="0"/>
        <v>10182.673916015621</v>
      </c>
      <c r="H64" s="61">
        <f t="shared" si="3"/>
        <v>88803.285887143662</v>
      </c>
      <c r="I64" s="122">
        <f t="shared" si="1"/>
        <v>-472121.04301890056</v>
      </c>
      <c r="J64" s="123">
        <f t="shared" si="4"/>
        <v>931794.29960937495</v>
      </c>
      <c r="K64" s="123">
        <f>+(F64+G64)/(1)^B64+K63</f>
        <v>459673.2565904744</v>
      </c>
    </row>
    <row r="65" spans="2:13" x14ac:dyDescent="0.25">
      <c r="B65" s="119">
        <f t="shared" si="5"/>
        <v>6</v>
      </c>
      <c r="C65" s="61">
        <f t="shared" si="6"/>
        <v>7919.8574902343753</v>
      </c>
      <c r="D65" s="126">
        <f t="shared" si="7"/>
        <v>0.135768985546875</v>
      </c>
      <c r="E65" s="126">
        <f t="shared" si="8"/>
        <v>6.1096043496093752E-2</v>
      </c>
      <c r="F65" s="61">
        <f t="shared" si="2"/>
        <v>88505.984760640611</v>
      </c>
      <c r="G65" s="61">
        <f t="shared" si="0"/>
        <v>10437.240763916012</v>
      </c>
      <c r="H65" s="61">
        <f t="shared" si="3"/>
        <v>91023.368034322237</v>
      </c>
      <c r="I65" s="122">
        <f t="shared" si="1"/>
        <v>-381097.67498457833</v>
      </c>
      <c r="J65" s="123">
        <f t="shared" si="4"/>
        <v>939714.15709960938</v>
      </c>
      <c r="K65" s="123">
        <f>+(F65+G65)/(1)^B65+K64</f>
        <v>558616.48211503099</v>
      </c>
    </row>
    <row r="66" spans="2:13" x14ac:dyDescent="0.25">
      <c r="B66" s="127">
        <f t="shared" si="5"/>
        <v>7</v>
      </c>
      <c r="C66" s="120">
        <f t="shared" si="6"/>
        <v>8117.853927490235</v>
      </c>
      <c r="D66" s="128">
        <f t="shared" si="7"/>
        <v>0.13916321018554687</v>
      </c>
      <c r="E66" s="128">
        <f t="shared" si="8"/>
        <v>6.2623444583496099E-2</v>
      </c>
      <c r="F66" s="120">
        <f t="shared" si="2"/>
        <v>90718.634379656636</v>
      </c>
      <c r="G66" s="120">
        <f t="shared" si="0"/>
        <v>10698.171783013913</v>
      </c>
      <c r="H66" s="120">
        <f t="shared" si="3"/>
        <v>93298.952235180317</v>
      </c>
      <c r="I66" s="122">
        <f t="shared" si="1"/>
        <v>-287798.72274939803</v>
      </c>
      <c r="J66" s="129">
        <f t="shared" si="4"/>
        <v>947832.01102709956</v>
      </c>
      <c r="K66" s="129">
        <f t="shared" si="9"/>
        <v>660033.28827770147</v>
      </c>
    </row>
    <row r="67" spans="2:13" x14ac:dyDescent="0.25">
      <c r="B67" s="127">
        <f t="shared" si="5"/>
        <v>8</v>
      </c>
      <c r="C67" s="120">
        <f t="shared" si="6"/>
        <v>8320.8002756774913</v>
      </c>
      <c r="D67" s="128">
        <f t="shared" si="7"/>
        <v>0.14264229044018553</v>
      </c>
      <c r="E67" s="128">
        <f t="shared" si="8"/>
        <v>6.4189030698083502E-2</v>
      </c>
      <c r="F67" s="120">
        <f t="shared" si="2"/>
        <v>92986.600239148043</v>
      </c>
      <c r="G67" s="120">
        <f t="shared" si="0"/>
        <v>10965.626077589259</v>
      </c>
      <c r="H67" s="120">
        <f t="shared" si="3"/>
        <v>95631.426041059807</v>
      </c>
      <c r="I67" s="122">
        <f t="shared" si="1"/>
        <v>-192167.29670833822</v>
      </c>
      <c r="J67" s="129">
        <f t="shared" si="4"/>
        <v>956152.81130277703</v>
      </c>
      <c r="K67" s="129">
        <f t="shared" si="9"/>
        <v>763985.51459443872</v>
      </c>
    </row>
    <row r="68" spans="2:13" x14ac:dyDescent="0.25">
      <c r="B68" s="130">
        <f t="shared" si="5"/>
        <v>9</v>
      </c>
      <c r="C68" s="131">
        <f t="shared" si="6"/>
        <v>8528.8202825694279</v>
      </c>
      <c r="D68" s="132">
        <f t="shared" si="7"/>
        <v>0.14620834770119018</v>
      </c>
      <c r="E68" s="132">
        <f t="shared" si="8"/>
        <v>6.5793756465535591E-2</v>
      </c>
      <c r="F68" s="131">
        <f t="shared" si="2"/>
        <v>95311.26524512675</v>
      </c>
      <c r="G68" s="131">
        <f t="shared" si="0"/>
        <v>11239.766729528988</v>
      </c>
      <c r="H68" s="131">
        <f t="shared" si="3"/>
        <v>98022.211692086305</v>
      </c>
      <c r="I68" s="131">
        <f t="shared" si="1"/>
        <v>-94145.08501625192</v>
      </c>
      <c r="J68" s="133">
        <f t="shared" si="4"/>
        <v>964681.63158534642</v>
      </c>
      <c r="K68" s="133">
        <f t="shared" si="9"/>
        <v>870536.54656909441</v>
      </c>
      <c r="M68" s="134"/>
    </row>
    <row r="69" spans="2:13" x14ac:dyDescent="0.25">
      <c r="B69" s="130">
        <f t="shared" si="5"/>
        <v>10</v>
      </c>
      <c r="C69" s="131">
        <f t="shared" si="6"/>
        <v>8742.0407896336637</v>
      </c>
      <c r="D69" s="132">
        <f t="shared" si="7"/>
        <v>0.14986355639371993</v>
      </c>
      <c r="E69" s="132">
        <f t="shared" si="8"/>
        <v>6.7438600377173974E-2</v>
      </c>
      <c r="F69" s="131">
        <f t="shared" si="2"/>
        <v>97694.046876254914</v>
      </c>
      <c r="G69" s="131">
        <f t="shared" si="0"/>
        <v>11520.760897767213</v>
      </c>
      <c r="H69" s="131">
        <f t="shared" si="3"/>
        <v>100472.76698438847</v>
      </c>
      <c r="I69" s="131">
        <f t="shared" si="1"/>
        <v>6327.681968136545</v>
      </c>
      <c r="J69" s="133">
        <f t="shared" si="4"/>
        <v>973423.67237498006</v>
      </c>
      <c r="K69" s="133">
        <f t="shared" si="9"/>
        <v>979751.35434311652</v>
      </c>
      <c r="M69" s="134"/>
    </row>
    <row r="70" spans="2:13" x14ac:dyDescent="0.25">
      <c r="B70" s="119">
        <f t="shared" si="5"/>
        <v>11</v>
      </c>
      <c r="C70" s="61">
        <f t="shared" si="6"/>
        <v>8960.5918093745058</v>
      </c>
      <c r="D70" s="126">
        <f t="shared" si="7"/>
        <v>0.15361014530356293</v>
      </c>
      <c r="E70" s="126">
        <f t="shared" si="8"/>
        <v>6.9124565386603318E-2</v>
      </c>
      <c r="F70" s="61">
        <f t="shared" si="2"/>
        <v>100136.39804816128</v>
      </c>
      <c r="G70" s="61">
        <f t="shared" si="0"/>
        <v>11808.779920211395</v>
      </c>
      <c r="H70" s="61">
        <f t="shared" si="3"/>
        <v>102984.58615899818</v>
      </c>
      <c r="I70" s="135">
        <f t="shared" si="1"/>
        <v>109312.26812713472</v>
      </c>
      <c r="J70" s="123">
        <f t="shared" si="4"/>
        <v>982384.26418435457</v>
      </c>
      <c r="K70" s="123">
        <f t="shared" si="9"/>
        <v>1091696.5323114891</v>
      </c>
      <c r="M70" s="134"/>
    </row>
    <row r="71" spans="2:13" x14ac:dyDescent="0.25">
      <c r="B71" s="119">
        <f t="shared" si="5"/>
        <v>12</v>
      </c>
      <c r="C71" s="61">
        <f t="shared" si="6"/>
        <v>9184.606604608869</v>
      </c>
      <c r="D71" s="126">
        <f t="shared" si="7"/>
        <v>0.15745039893615201</v>
      </c>
      <c r="E71" s="126">
        <f t="shared" si="8"/>
        <v>7.0852679521268405E-2</v>
      </c>
      <c r="F71" s="61">
        <f t="shared" si="2"/>
        <v>102639.80799936532</v>
      </c>
      <c r="G71" s="61">
        <f t="shared" si="0"/>
        <v>12103.999418216677</v>
      </c>
      <c r="H71" s="61">
        <f t="shared" si="3"/>
        <v>105559.20081297314</v>
      </c>
      <c r="I71" s="135">
        <f t="shared" si="1"/>
        <v>214871.46894010785</v>
      </c>
      <c r="J71" s="123">
        <f t="shared" si="4"/>
        <v>991568.8707889634</v>
      </c>
      <c r="K71" s="123">
        <f t="shared" si="9"/>
        <v>1206440.3397290711</v>
      </c>
      <c r="M71" s="134"/>
    </row>
    <row r="72" spans="2:13" x14ac:dyDescent="0.25">
      <c r="B72" s="119">
        <f t="shared" si="5"/>
        <v>13</v>
      </c>
      <c r="C72" s="61">
        <f t="shared" si="6"/>
        <v>9414.2217697240903</v>
      </c>
      <c r="D72" s="126">
        <f t="shared" si="7"/>
        <v>0.16138665890955581</v>
      </c>
      <c r="E72" s="126">
        <f t="shared" si="8"/>
        <v>7.2623996509300112E-2</v>
      </c>
      <c r="F72" s="61">
        <f t="shared" si="2"/>
        <v>105205.80319934944</v>
      </c>
      <c r="G72" s="61">
        <f t="shared" si="0"/>
        <v>12406.599403672095</v>
      </c>
      <c r="H72" s="61">
        <f t="shared" si="3"/>
        <v>108198.18083329745</v>
      </c>
      <c r="I72" s="135">
        <f t="shared" si="1"/>
        <v>323069.64977340528</v>
      </c>
      <c r="J72" s="123">
        <f t="shared" si="4"/>
        <v>1000983.0925586874</v>
      </c>
      <c r="K72" s="123">
        <f t="shared" si="9"/>
        <v>1324052.7423320927</v>
      </c>
      <c r="M72" s="134"/>
    </row>
    <row r="73" spans="2:13" x14ac:dyDescent="0.25">
      <c r="B73" s="119">
        <f t="shared" si="5"/>
        <v>14</v>
      </c>
      <c r="C73" s="61">
        <f t="shared" si="6"/>
        <v>9649.5773139671928</v>
      </c>
      <c r="D73" s="126">
        <f t="shared" si="7"/>
        <v>0.1654213253822947</v>
      </c>
      <c r="E73" s="126">
        <f t="shared" si="8"/>
        <v>7.4439596422032614E-2</v>
      </c>
      <c r="F73" s="61">
        <f t="shared" si="2"/>
        <v>107835.94827933318</v>
      </c>
      <c r="G73" s="61">
        <f t="shared" si="0"/>
        <v>12716.764388763895</v>
      </c>
      <c r="H73" s="61">
        <f t="shared" si="3"/>
        <v>110903.13535412989</v>
      </c>
      <c r="I73" s="135">
        <f t="shared" si="1"/>
        <v>433972.78512753517</v>
      </c>
      <c r="J73" s="123">
        <f t="shared" si="4"/>
        <v>1010632.6698726546</v>
      </c>
      <c r="K73" s="123">
        <f>+(F73+G73)/(1)^B73+K72</f>
        <v>1444605.4550001898</v>
      </c>
      <c r="M73" s="134"/>
    </row>
    <row r="74" spans="2:13" x14ac:dyDescent="0.25">
      <c r="B74" s="119">
        <f t="shared" si="5"/>
        <v>15</v>
      </c>
      <c r="C74" s="61">
        <f t="shared" si="6"/>
        <v>9890.816746816372</v>
      </c>
      <c r="D74" s="126">
        <f t="shared" si="7"/>
        <v>0.16955685851685207</v>
      </c>
      <c r="E74" s="126">
        <f t="shared" si="8"/>
        <v>7.6300586332583423E-2</v>
      </c>
      <c r="F74" s="61">
        <f t="shared" si="2"/>
        <v>110531.84698631651</v>
      </c>
      <c r="G74" s="61">
        <f t="shared" si="0"/>
        <v>13034.683498482995</v>
      </c>
      <c r="H74" s="61">
        <f t="shared" si="3"/>
        <v>113675.71373798313</v>
      </c>
      <c r="I74" s="135">
        <f t="shared" si="1"/>
        <v>547648.49886551825</v>
      </c>
      <c r="J74" s="123">
        <f t="shared" si="4"/>
        <v>1020523.486619471</v>
      </c>
      <c r="K74" s="123">
        <f t="shared" si="9"/>
        <v>1568171.9854849894</v>
      </c>
    </row>
    <row r="75" spans="2:13" x14ac:dyDescent="0.25">
      <c r="B75" s="119">
        <f t="shared" si="5"/>
        <v>16</v>
      </c>
      <c r="C75" s="61">
        <f t="shared" si="6"/>
        <v>10138.087165486781</v>
      </c>
      <c r="D75" s="126">
        <f t="shared" si="7"/>
        <v>0.17379577997977336</v>
      </c>
      <c r="E75" s="126">
        <f t="shared" si="8"/>
        <v>7.8208100990898005E-2</v>
      </c>
      <c r="F75" s="61">
        <f t="shared" si="2"/>
        <v>113295.14316097443</v>
      </c>
      <c r="G75" s="61">
        <f t="shared" si="0"/>
        <v>13360.550585945068</v>
      </c>
      <c r="H75" s="61">
        <f t="shared" si="3"/>
        <v>116517.60658143272</v>
      </c>
      <c r="I75" s="135">
        <f t="shared" si="1"/>
        <v>664166.105446951</v>
      </c>
      <c r="J75" s="123">
        <f t="shared" si="4"/>
        <v>1030661.5737849578</v>
      </c>
      <c r="K75" s="123">
        <f t="shared" si="9"/>
        <v>1694827.6792319089</v>
      </c>
    </row>
    <row r="76" spans="2:13" ht="16.5" customHeight="1" x14ac:dyDescent="0.25">
      <c r="B76" s="127">
        <f t="shared" si="5"/>
        <v>17</v>
      </c>
      <c r="C76" s="120">
        <f t="shared" si="6"/>
        <v>10391.53934462395</v>
      </c>
      <c r="D76" s="128">
        <f t="shared" si="7"/>
        <v>0.17814067447926768</v>
      </c>
      <c r="E76" s="126">
        <f t="shared" si="8"/>
        <v>8.0163303515670456E-2</v>
      </c>
      <c r="F76" s="61">
        <f t="shared" si="2"/>
        <v>116127.52173999877</v>
      </c>
      <c r="G76" s="61">
        <f t="shared" si="0"/>
        <v>13694.564350593693</v>
      </c>
      <c r="H76" s="61">
        <f t="shared" si="3"/>
        <v>119430.54674596852</v>
      </c>
      <c r="I76" s="135">
        <f t="shared" si="1"/>
        <v>783596.65219291952</v>
      </c>
      <c r="J76" s="123">
        <f t="shared" si="4"/>
        <v>1041053.1131295817</v>
      </c>
      <c r="K76" s="123">
        <f t="shared" si="9"/>
        <v>1824649.7653225013</v>
      </c>
    </row>
    <row r="77" spans="2:13" x14ac:dyDescent="0.25">
      <c r="B77" s="119">
        <f t="shared" si="5"/>
        <v>18</v>
      </c>
      <c r="C77" s="61">
        <f t="shared" si="6"/>
        <v>10651.327828239549</v>
      </c>
      <c r="D77" s="126">
        <f t="shared" si="7"/>
        <v>0.18259419134124938</v>
      </c>
      <c r="E77" s="126">
        <f t="shared" si="8"/>
        <v>8.2167386103562223E-2</v>
      </c>
      <c r="F77" s="61">
        <f t="shared" si="2"/>
        <v>119030.70978349875</v>
      </c>
      <c r="G77" s="61">
        <f t="shared" si="0"/>
        <v>14036.928459358536</v>
      </c>
      <c r="H77" s="61">
        <f t="shared" si="3"/>
        <v>122416.31041461774</v>
      </c>
      <c r="I77" s="135">
        <f t="shared" si="1"/>
        <v>906012.96260753728</v>
      </c>
      <c r="J77" s="123">
        <f t="shared" si="4"/>
        <v>1051704.4409578212</v>
      </c>
      <c r="K77" s="123">
        <f t="shared" si="9"/>
        <v>1957717.4035653586</v>
      </c>
    </row>
    <row r="78" spans="2:13" x14ac:dyDescent="0.25">
      <c r="B78" s="119">
        <f t="shared" si="5"/>
        <v>19</v>
      </c>
      <c r="C78" s="61">
        <f t="shared" si="6"/>
        <v>10917.611023945537</v>
      </c>
      <c r="D78" s="126">
        <f t="shared" si="7"/>
        <v>0.18715904612478063</v>
      </c>
      <c r="E78" s="126">
        <f t="shared" si="8"/>
        <v>8.4221570756151276E-2</v>
      </c>
      <c r="F78" s="61">
        <f t="shared" si="2"/>
        <v>122006.47752808622</v>
      </c>
      <c r="G78" s="61">
        <f t="shared" si="0"/>
        <v>14387.8516708425</v>
      </c>
      <c r="H78" s="61">
        <f t="shared" si="3"/>
        <v>125476.71817498319</v>
      </c>
      <c r="I78" s="135">
        <f t="shared" si="1"/>
        <v>1031489.6807825204</v>
      </c>
      <c r="J78" s="123">
        <f t="shared" si="4"/>
        <v>1062622.0519817667</v>
      </c>
      <c r="K78" s="123">
        <f t="shared" si="9"/>
        <v>2094111.7327642874</v>
      </c>
    </row>
    <row r="79" spans="2:13" x14ac:dyDescent="0.25">
      <c r="B79" s="119">
        <f>+B78+1</f>
        <v>20</v>
      </c>
      <c r="C79" s="61">
        <f t="shared" si="6"/>
        <v>11190.551299544175</v>
      </c>
      <c r="D79" s="126">
        <f t="shared" si="7"/>
        <v>0.19183802227790014</v>
      </c>
      <c r="E79" s="126">
        <f t="shared" si="8"/>
        <v>8.6327110025055054E-2</v>
      </c>
      <c r="F79" s="61">
        <f t="shared" si="2"/>
        <v>125056.63946628838</v>
      </c>
      <c r="G79" s="61">
        <f t="shared" si="0"/>
        <v>14747.54796261356</v>
      </c>
      <c r="H79" s="61">
        <f t="shared" si="3"/>
        <v>128613.63612935778</v>
      </c>
      <c r="I79" s="135">
        <f t="shared" si="1"/>
        <v>1160103.3169118783</v>
      </c>
      <c r="J79" s="123">
        <f t="shared" si="4"/>
        <v>1073812.603281311</v>
      </c>
      <c r="K79" s="123">
        <f t="shared" si="9"/>
        <v>2233915.9201931893</v>
      </c>
    </row>
    <row r="80" spans="2:13" x14ac:dyDescent="0.25">
      <c r="E80" s="136"/>
      <c r="H80" s="137" t="s">
        <v>55</v>
      </c>
      <c r="I80" s="138">
        <f>B68+(I68/(I69-I68))*-1</f>
        <v>9.9370209245942256</v>
      </c>
    </row>
    <row r="81" spans="5:17" x14ac:dyDescent="0.25">
      <c r="E81" s="136"/>
      <c r="H81" s="139" t="s">
        <v>56</v>
      </c>
      <c r="I81" s="140">
        <f>I79/J79</f>
        <v>1.0803591924390568</v>
      </c>
      <c r="P81" s="141"/>
      <c r="Q81" s="142"/>
    </row>
    <row r="82" spans="5:17" x14ac:dyDescent="0.25">
      <c r="E82" s="136"/>
      <c r="K82" s="1" t="s">
        <v>70</v>
      </c>
      <c r="L82" s="143">
        <f>0.94*365</f>
        <v>343.09999999999997</v>
      </c>
      <c r="M82" s="1" t="s">
        <v>46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51">
    <mergeCell ref="S7:V7"/>
    <mergeCell ref="S15:V15"/>
    <mergeCell ref="S11:V11"/>
    <mergeCell ref="S8:V8"/>
    <mergeCell ref="S10:U10"/>
    <mergeCell ref="S12:V12"/>
    <mergeCell ref="S14:U14"/>
    <mergeCell ref="S16:V16"/>
    <mergeCell ref="S9:U9"/>
    <mergeCell ref="S13:U13"/>
    <mergeCell ref="B2:J2"/>
    <mergeCell ref="L2:P2"/>
    <mergeCell ref="S2:V2"/>
    <mergeCell ref="S3:V3"/>
    <mergeCell ref="S6:U6"/>
    <mergeCell ref="S4:U4"/>
    <mergeCell ref="S5:U5"/>
    <mergeCell ref="W24:W25"/>
    <mergeCell ref="S25:U25"/>
    <mergeCell ref="W26:W27"/>
    <mergeCell ref="S21:U21"/>
    <mergeCell ref="S17:U17"/>
    <mergeCell ref="S19:U19"/>
    <mergeCell ref="S20:V20"/>
    <mergeCell ref="B41:I41"/>
    <mergeCell ref="J57:J58"/>
    <mergeCell ref="K57:K58"/>
    <mergeCell ref="R23:V23"/>
    <mergeCell ref="R24:R25"/>
    <mergeCell ref="S24:U24"/>
    <mergeCell ref="S26:V26"/>
    <mergeCell ref="S27:V27"/>
    <mergeCell ref="R26:R27"/>
    <mergeCell ref="B30:I30"/>
    <mergeCell ref="B31:I31"/>
    <mergeCell ref="G33:I34"/>
    <mergeCell ref="B36:I36"/>
    <mergeCell ref="G38:I39"/>
    <mergeCell ref="D57:E57"/>
    <mergeCell ref="B57:B58"/>
    <mergeCell ref="C57:C58"/>
    <mergeCell ref="F57:F58"/>
    <mergeCell ref="G43:I44"/>
    <mergeCell ref="B46:I46"/>
    <mergeCell ref="G57:G58"/>
    <mergeCell ref="H57:H58"/>
    <mergeCell ref="I57:I58"/>
    <mergeCell ref="G48:I49"/>
    <mergeCell ref="B51:I51"/>
    <mergeCell ref="B56:K56"/>
    <mergeCell ref="K35:P46"/>
  </mergeCells>
  <pageMargins left="0.7" right="0.7" top="0.75" bottom="0.75" header="0.3" footer="0.3"/>
  <pageSetup paperSize="9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Chillers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2014-02-28T10:34:25Z</dcterms:created>
  <dcterms:modified xsi:type="dcterms:W3CDTF">2014-05-06T22:40:23Z</dcterms:modified>
</cp:coreProperties>
</file>