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26" lockStructure="1"/>
  <bookViews>
    <workbookView xWindow="480" yWindow="60" windowWidth="18195" windowHeight="8505"/>
  </bookViews>
  <sheets>
    <sheet name="Fotovoltaicos" sheetId="1" r:id="rId1"/>
  </sheets>
  <calcPr calcId="145621"/>
</workbook>
</file>

<file path=xl/calcChain.xml><?xml version="1.0" encoding="utf-8"?>
<calcChain xmlns="http://schemas.openxmlformats.org/spreadsheetml/2006/main">
  <c r="J15" i="1" l="1"/>
  <c r="W5" i="1" l="1"/>
  <c r="W4" i="1"/>
  <c r="U58" i="1" l="1"/>
  <c r="O36" i="1"/>
  <c r="O37" i="1" s="1"/>
  <c r="M36" i="1"/>
  <c r="M37" i="1" s="1"/>
  <c r="M38" i="1" s="1"/>
  <c r="M39" i="1" s="1"/>
  <c r="M40" i="1" s="1"/>
  <c r="M41" i="1" s="1"/>
  <c r="M42" i="1" s="1"/>
  <c r="M43" i="1" s="1"/>
  <c r="M44" i="1" s="1"/>
  <c r="J58" i="1"/>
  <c r="M45" i="1" l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O38" i="1"/>
  <c r="D36" i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Q12" i="1"/>
  <c r="Q15" i="1" l="1"/>
  <c r="W6" i="1"/>
  <c r="N35" i="1"/>
  <c r="O39" i="1"/>
  <c r="C35" i="1"/>
  <c r="S35" i="1" l="1"/>
  <c r="Q35" i="1"/>
  <c r="R35" i="1" s="1"/>
  <c r="C36" i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W8" i="1"/>
  <c r="N36" i="1"/>
  <c r="N37" i="1" s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O40" i="1"/>
  <c r="S36" i="1" l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O41" i="1"/>
  <c r="O42" i="1" l="1"/>
  <c r="O43" i="1" l="1"/>
  <c r="O44" i="1" l="1"/>
  <c r="O45" i="1" l="1"/>
  <c r="O46" i="1" l="1"/>
  <c r="O47" i="1" l="1"/>
  <c r="O48" i="1" l="1"/>
  <c r="O49" i="1" l="1"/>
  <c r="O50" i="1" l="1"/>
  <c r="O51" i="1" l="1"/>
  <c r="O52" i="1" l="1"/>
  <c r="O53" i="1" l="1"/>
  <c r="O54" i="1" l="1"/>
  <c r="O55" i="1" l="1"/>
  <c r="J16" i="1" l="1"/>
  <c r="J19" i="1" s="1"/>
  <c r="P37" i="1" l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Q55" i="1" s="1"/>
  <c r="E38" i="1"/>
  <c r="E40" i="1"/>
  <c r="E42" i="1"/>
  <c r="E44" i="1"/>
  <c r="E46" i="1"/>
  <c r="E48" i="1"/>
  <c r="E50" i="1"/>
  <c r="E52" i="1"/>
  <c r="E54" i="1"/>
  <c r="E37" i="1"/>
  <c r="E39" i="1"/>
  <c r="E41" i="1"/>
  <c r="E43" i="1"/>
  <c r="E45" i="1"/>
  <c r="E47" i="1"/>
  <c r="E49" i="1"/>
  <c r="E51" i="1"/>
  <c r="E53" i="1"/>
  <c r="E55" i="1"/>
  <c r="J22" i="1"/>
  <c r="J21" i="1"/>
  <c r="J20" i="1"/>
  <c r="P36" i="1" s="1"/>
  <c r="J7" i="1"/>
  <c r="J8" i="1" s="1"/>
  <c r="J6" i="1"/>
  <c r="Q36" i="1" l="1"/>
  <c r="R36" i="1" s="1"/>
  <c r="T36" i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E36" i="1"/>
  <c r="AC4" i="1"/>
  <c r="Q54" i="1"/>
  <c r="Q52" i="1"/>
  <c r="Q50" i="1"/>
  <c r="Q48" i="1"/>
  <c r="Q46" i="1"/>
  <c r="Q44" i="1"/>
  <c r="Q42" i="1"/>
  <c r="Q40" i="1"/>
  <c r="Q38" i="1"/>
  <c r="Q53" i="1"/>
  <c r="Q51" i="1"/>
  <c r="Q49" i="1"/>
  <c r="Q47" i="1"/>
  <c r="Q45" i="1"/>
  <c r="Q43" i="1"/>
  <c r="Q41" i="1"/>
  <c r="Q39" i="1"/>
  <c r="Q37" i="1"/>
  <c r="B36" i="1"/>
  <c r="R37" i="1" l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I36" i="1"/>
  <c r="B37" i="1"/>
  <c r="R56" i="1" l="1"/>
  <c r="R54" i="1"/>
  <c r="R55" i="1" s="1"/>
  <c r="R57" i="1" s="1"/>
  <c r="I37" i="1"/>
  <c r="F36" i="1"/>
  <c r="F35" i="1"/>
  <c r="G35" i="1" s="1"/>
  <c r="H35" i="1"/>
  <c r="H36" i="1" s="1"/>
  <c r="B38" i="1"/>
  <c r="I38" i="1" s="1"/>
  <c r="F37" i="1"/>
  <c r="G36" i="1" l="1"/>
  <c r="G37" i="1" s="1"/>
  <c r="H37" i="1"/>
  <c r="F38" i="1"/>
  <c r="B39" i="1"/>
  <c r="I39" i="1" s="1"/>
  <c r="H38" i="1" l="1"/>
  <c r="G38" i="1"/>
  <c r="F39" i="1"/>
  <c r="B40" i="1"/>
  <c r="I40" i="1" s="1"/>
  <c r="G39" i="1" l="1"/>
  <c r="H39" i="1"/>
  <c r="B41" i="1"/>
  <c r="I41" i="1" s="1"/>
  <c r="F40" i="1"/>
  <c r="G40" i="1" l="1"/>
  <c r="H40" i="1"/>
  <c r="F41" i="1"/>
  <c r="G41" i="1" s="1"/>
  <c r="B42" i="1"/>
  <c r="I42" i="1" s="1"/>
  <c r="H41" i="1" l="1"/>
  <c r="H42" i="1" s="1"/>
  <c r="F42" i="1"/>
  <c r="G42" i="1" s="1"/>
  <c r="B43" i="1"/>
  <c r="I43" i="1" s="1"/>
  <c r="B44" i="1" l="1"/>
  <c r="I44" i="1" s="1"/>
  <c r="F43" i="1"/>
  <c r="G43" i="1" s="1"/>
  <c r="H43" i="1" l="1"/>
  <c r="F44" i="1"/>
  <c r="G44" i="1" s="1"/>
  <c r="B45" i="1"/>
  <c r="I45" i="1" s="1"/>
  <c r="H44" i="1" l="1"/>
  <c r="B46" i="1"/>
  <c r="I46" i="1" s="1"/>
  <c r="F45" i="1"/>
  <c r="G45" i="1" s="1"/>
  <c r="G56" i="1" s="1"/>
  <c r="H45" i="1" l="1"/>
  <c r="F46" i="1"/>
  <c r="G46" i="1" s="1"/>
  <c r="B47" i="1"/>
  <c r="I47" i="1" s="1"/>
  <c r="H46" i="1" l="1"/>
  <c r="F47" i="1"/>
  <c r="G47" i="1" s="1"/>
  <c r="B48" i="1"/>
  <c r="I48" i="1" s="1"/>
  <c r="H47" i="1" l="1"/>
  <c r="B49" i="1"/>
  <c r="I49" i="1" s="1"/>
  <c r="F48" i="1"/>
  <c r="G48" i="1" s="1"/>
  <c r="H48" i="1" l="1"/>
  <c r="F49" i="1"/>
  <c r="G49" i="1" s="1"/>
  <c r="B50" i="1"/>
  <c r="I50" i="1" s="1"/>
  <c r="H49" i="1" l="1"/>
  <c r="B51" i="1"/>
  <c r="I51" i="1" s="1"/>
  <c r="F50" i="1"/>
  <c r="G50" i="1" s="1"/>
  <c r="H50" i="1" l="1"/>
  <c r="B52" i="1"/>
  <c r="I52" i="1" s="1"/>
  <c r="F51" i="1"/>
  <c r="G51" i="1" s="1"/>
  <c r="H51" i="1" l="1"/>
  <c r="F52" i="1"/>
  <c r="G52" i="1" s="1"/>
  <c r="B53" i="1"/>
  <c r="I53" i="1" s="1"/>
  <c r="H52" i="1" l="1"/>
  <c r="B54" i="1"/>
  <c r="I54" i="1" s="1"/>
  <c r="F53" i="1"/>
  <c r="G53" i="1" s="1"/>
  <c r="H53" i="1" l="1"/>
  <c r="F54" i="1"/>
  <c r="G54" i="1" s="1"/>
  <c r="B55" i="1"/>
  <c r="I55" i="1" s="1"/>
  <c r="H54" i="1" l="1"/>
  <c r="F55" i="1"/>
  <c r="G55" i="1" s="1"/>
  <c r="G57" i="1" l="1"/>
  <c r="H55" i="1"/>
</calcChain>
</file>

<file path=xl/comments1.xml><?xml version="1.0" encoding="utf-8"?>
<comments xmlns="http://schemas.openxmlformats.org/spreadsheetml/2006/main">
  <authors>
    <author>Nuno</author>
  </authors>
  <commentList>
    <comment ref="G56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PRI - Período do retorno do investimento</t>
        </r>
      </text>
    </comment>
    <comment ref="R56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PRI - Período do retorno do investimento</t>
        </r>
      </text>
    </comment>
  </commentList>
</comments>
</file>

<file path=xl/sharedStrings.xml><?xml version="1.0" encoding="utf-8"?>
<sst xmlns="http://schemas.openxmlformats.org/spreadsheetml/2006/main" count="76" uniqueCount="62">
  <si>
    <t>€/kWh</t>
  </si>
  <si>
    <t>Ano</t>
  </si>
  <si>
    <t>Investimento</t>
  </si>
  <si>
    <t>Cash Flow</t>
  </si>
  <si>
    <t>Retorno Acumulado</t>
  </si>
  <si>
    <t>Investimento Acumulado</t>
  </si>
  <si>
    <t>(dias)</t>
  </si>
  <si>
    <t>Potência de um módulo (W):</t>
  </si>
  <si>
    <r>
      <t>Área de um módulo (m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):</t>
    </r>
  </si>
  <si>
    <r>
      <t>Área disponível pelo CCB (m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):</t>
    </r>
  </si>
  <si>
    <t>Número de módulos a instalar:</t>
  </si>
  <si>
    <r>
      <t>Radiação media anual em Lisboa (w/m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):</t>
    </r>
  </si>
  <si>
    <t>Eficiência do módulo (%):</t>
  </si>
  <si>
    <t>Energia produzida por módulo (kWh):</t>
  </si>
  <si>
    <t>Energia produzida no CCB [182 módulos] (kWh):</t>
  </si>
  <si>
    <r>
      <t>Energia produzida no CCB por unidade de área [182 módulos/300 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] (kWh/m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):</t>
    </r>
  </si>
  <si>
    <t>Dados usados para o estudo da potência a instalar</t>
  </si>
  <si>
    <t>Contabilizando o erro (de 17,8%) associado à expressão:</t>
  </si>
  <si>
    <t>Considerações</t>
  </si>
  <si>
    <t>€/kWh (auto-consumo):</t>
  </si>
  <si>
    <t>€/kWh (venda à rede):</t>
  </si>
  <si>
    <t>Total:</t>
  </si>
  <si>
    <t>Taxas:</t>
  </si>
  <si>
    <t>Taxa de Inflacção:</t>
  </si>
  <si>
    <t>Aquisição de equipamento - Módulos (€):</t>
  </si>
  <si>
    <t>Instalação de 182 unidades:</t>
  </si>
  <si>
    <t>182 módulos + instalação:</t>
  </si>
  <si>
    <t>Manutenção módulos (€/ano):</t>
  </si>
  <si>
    <t>Custo unitário do módulo:</t>
  </si>
  <si>
    <t>Estimativa anual de produção energética</t>
  </si>
  <si>
    <t>Estimativa de redução de custos para auto-consumo (€):</t>
  </si>
  <si>
    <t>Estimativa de redução de custos para venda à rede (€):</t>
  </si>
  <si>
    <t>Estudo de viabilidade económica - Instalação de módulos fotovoltaicos - Venda à rede (€)</t>
  </si>
  <si>
    <t>Redução de custos de consumo</t>
  </si>
  <si>
    <t>Redução de custos acumulado</t>
  </si>
  <si>
    <t>0,41 anos:</t>
  </si>
  <si>
    <t>Payback Period</t>
  </si>
  <si>
    <t>ROI</t>
  </si>
  <si>
    <t>Estudo de viabilidade económica - Instalação de módulos fotovoltaicos - Auto-consumo (€)</t>
  </si>
  <si>
    <t>0,87 anos:</t>
  </si>
  <si>
    <t>Resumo de custos (€)</t>
  </si>
  <si>
    <t>Aquisição e instalação</t>
  </si>
  <si>
    <t>Manutenção anual</t>
  </si>
  <si>
    <r>
      <t>Módulos</t>
    </r>
    <r>
      <rPr>
        <sz val="11"/>
        <color theme="1"/>
        <rFont val="Calibri"/>
        <family val="2"/>
      </rPr>
      <t xml:space="preserve"> (182 unidades)</t>
    </r>
  </si>
  <si>
    <t>182 módulos (1% do invest. inicial total):</t>
  </si>
  <si>
    <t>Redução de consumos e custos</t>
  </si>
  <si>
    <t>Totais</t>
  </si>
  <si>
    <t>Redução energética (kWh)</t>
  </si>
  <si>
    <t>Eletricidade (kWh)</t>
  </si>
  <si>
    <t>Redução de custos (€)</t>
  </si>
  <si>
    <t>Eletricidade (0,23€/kWh)</t>
  </si>
  <si>
    <t>57.819 kWh</t>
  </si>
  <si>
    <t>Custo unitário</t>
  </si>
  <si>
    <t>Instalação</t>
  </si>
  <si>
    <t>Verificação da legislação aplicável (DL 34/2011; Artigo 3º)</t>
  </si>
  <si>
    <t>Potência total a instalar no CCB (W):</t>
  </si>
  <si>
    <t>Potência total a instalar no CCB (kW):</t>
  </si>
  <si>
    <t>OK!</t>
  </si>
  <si>
    <t>Potência contratada pelo CCB = 1.744 kW</t>
  </si>
  <si>
    <t>Potência a instalar = 43,68 kW &lt; 50% da potência contratada = 872 kW</t>
  </si>
  <si>
    <t>Energia elétrica produzida anualmente no CCB com a miniprodução = 57.818,51 kW</t>
  </si>
  <si>
    <t>Energia elétrica consumida (em 2012) = 5.397.573,56 kWh &gt; 50% da energia produzida pela miniprodução = 29.909,25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</si>
</sst>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00"/>
    <numFmt numFmtId="166" formatCode="#,##0\ &quot;€&quot;"/>
  </numFmts>
  <fonts count="9" x14ac:knownFonts="1"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Protection="1">
      <protection hidden="1"/>
    </xf>
    <xf numFmtId="0" fontId="0" fillId="2" borderId="3" xfId="0" applyFill="1" applyBorder="1" applyAlignment="1" applyProtection="1">
      <alignment horizontal="center"/>
      <protection hidden="1"/>
    </xf>
    <xf numFmtId="0" fontId="0" fillId="2" borderId="4" xfId="0" applyFill="1" applyBorder="1" applyAlignment="1" applyProtection="1">
      <alignment horizontal="center"/>
      <protection hidden="1"/>
    </xf>
    <xf numFmtId="0" fontId="0" fillId="2" borderId="5" xfId="0" applyFill="1" applyBorder="1" applyAlignment="1" applyProtection="1">
      <alignment horizontal="center"/>
      <protection hidden="1"/>
    </xf>
    <xf numFmtId="0" fontId="0" fillId="2" borderId="11" xfId="0" applyFill="1" applyBorder="1" applyAlignment="1" applyProtection="1">
      <alignment horizontal="center" vertical="center"/>
      <protection hidden="1"/>
    </xf>
    <xf numFmtId="0" fontId="0" fillId="2" borderId="12" xfId="0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 vertical="center"/>
      <protection hidden="1"/>
    </xf>
    <xf numFmtId="0" fontId="0" fillId="0" borderId="0" xfId="0" applyNumberFormat="1" applyProtection="1">
      <protection hidden="1"/>
    </xf>
    <xf numFmtId="0" fontId="0" fillId="0" borderId="6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2" fontId="0" fillId="0" borderId="7" xfId="0" applyNumberFormat="1" applyBorder="1" applyAlignment="1" applyProtection="1">
      <alignment horizontal="left"/>
      <protection hidden="1"/>
    </xf>
    <xf numFmtId="2" fontId="0" fillId="0" borderId="0" xfId="0" applyNumberFormat="1" applyBorder="1" applyAlignment="1" applyProtection="1">
      <alignment horizontal="left"/>
      <protection hidden="1"/>
    </xf>
    <xf numFmtId="0" fontId="0" fillId="0" borderId="7" xfId="0" applyBorder="1" applyProtection="1">
      <protection hidden="1"/>
    </xf>
    <xf numFmtId="0" fontId="0" fillId="0" borderId="14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0" fillId="0" borderId="15" xfId="0" applyFon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3" fontId="0" fillId="0" borderId="20" xfId="0" applyNumberFormat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166" fontId="0" fillId="0" borderId="15" xfId="0" applyNumberForma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166" fontId="0" fillId="0" borderId="18" xfId="0" applyNumberFormat="1" applyBorder="1" applyAlignment="1" applyProtection="1">
      <alignment horizontal="center" vertical="center"/>
      <protection hidden="1"/>
    </xf>
    <xf numFmtId="0" fontId="0" fillId="5" borderId="6" xfId="0" applyFill="1" applyBorder="1" applyProtection="1">
      <protection hidden="1"/>
    </xf>
    <xf numFmtId="0" fontId="0" fillId="5" borderId="0" xfId="0" applyFill="1" applyBorder="1" applyProtection="1">
      <protection hidden="1"/>
    </xf>
    <xf numFmtId="0" fontId="0" fillId="5" borderId="7" xfId="0" applyFill="1" applyBorder="1" applyProtection="1">
      <protection hidden="1"/>
    </xf>
    <xf numFmtId="4" fontId="0" fillId="0" borderId="7" xfId="0" applyNumberFormat="1" applyBorder="1" applyAlignment="1" applyProtection="1">
      <alignment horizontal="left"/>
      <protection hidden="1"/>
    </xf>
    <xf numFmtId="4" fontId="0" fillId="0" borderId="7" xfId="0" applyNumberFormat="1" applyFill="1" applyBorder="1" applyAlignment="1" applyProtection="1">
      <alignment horizontal="left" vertical="center"/>
      <protection hidden="1"/>
    </xf>
    <xf numFmtId="0" fontId="0" fillId="5" borderId="14" xfId="0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5" borderId="15" xfId="0" applyFill="1" applyBorder="1" applyAlignment="1" applyProtection="1">
      <alignment horizontal="center" vertical="center"/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right"/>
      <protection hidden="1"/>
    </xf>
    <xf numFmtId="4" fontId="0" fillId="0" borderId="10" xfId="0" applyNumberFormat="1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4" fontId="0" fillId="0" borderId="0" xfId="0" applyNumberFormat="1" applyBorder="1" applyAlignment="1" applyProtection="1">
      <alignment horizontal="left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7" xfId="0" applyFill="1" applyBorder="1" applyProtection="1">
      <protection hidden="1"/>
    </xf>
    <xf numFmtId="10" fontId="0" fillId="0" borderId="7" xfId="0" applyNumberFormat="1" applyBorder="1" applyAlignment="1" applyProtection="1">
      <alignment horizontal="left"/>
      <protection hidden="1"/>
    </xf>
    <xf numFmtId="0" fontId="0" fillId="5" borderId="0" xfId="0" applyFill="1" applyBorder="1" applyAlignment="1" applyProtection="1">
      <alignment horizontal="right"/>
      <protection hidden="1"/>
    </xf>
    <xf numFmtId="4" fontId="0" fillId="5" borderId="7" xfId="0" applyNumberFormat="1" applyFill="1" applyBorder="1" applyAlignment="1" applyProtection="1">
      <alignment horizontal="left"/>
      <protection hidden="1"/>
    </xf>
    <xf numFmtId="164" fontId="0" fillId="0" borderId="10" xfId="0" applyNumberFormat="1" applyFill="1" applyBorder="1" applyAlignment="1" applyProtection="1">
      <alignment horizontal="left"/>
      <protection hidden="1"/>
    </xf>
    <xf numFmtId="164" fontId="0" fillId="0" borderId="0" xfId="0" applyNumberFormat="1" applyFill="1" applyBorder="1" applyAlignment="1" applyProtection="1">
      <alignment horizontal="left"/>
      <protection hidden="1"/>
    </xf>
    <xf numFmtId="0" fontId="0" fillId="2" borderId="11" xfId="0" applyFill="1" applyBorder="1" applyAlignment="1" applyProtection="1">
      <alignment horizontal="center"/>
      <protection hidden="1"/>
    </xf>
    <xf numFmtId="0" fontId="0" fillId="2" borderId="12" xfId="0" applyFill="1" applyBorder="1" applyAlignment="1" applyProtection="1">
      <alignment horizont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5" borderId="28" xfId="0" applyFill="1" applyBorder="1" applyProtection="1">
      <protection hidden="1"/>
    </xf>
    <xf numFmtId="0" fontId="0" fillId="7" borderId="26" xfId="0" applyFill="1" applyBorder="1" applyAlignment="1" applyProtection="1">
      <alignment horizontal="center"/>
      <protection hidden="1"/>
    </xf>
    <xf numFmtId="0" fontId="0" fillId="5" borderId="25" xfId="0" applyFill="1" applyBorder="1" applyProtection="1">
      <protection hidden="1"/>
    </xf>
    <xf numFmtId="0" fontId="0" fillId="0" borderId="14" xfId="0" applyBorder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 wrapText="1"/>
      <protection hidden="1"/>
    </xf>
    <xf numFmtId="0" fontId="0" fillId="7" borderId="27" xfId="0" applyFill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wrapText="1"/>
      <protection hidden="1"/>
    </xf>
    <xf numFmtId="0" fontId="0" fillId="0" borderId="17" xfId="0" applyBorder="1" applyAlignment="1" applyProtection="1">
      <alignment horizontal="center" wrapText="1"/>
      <protection hidden="1"/>
    </xf>
    <xf numFmtId="0" fontId="0" fillId="7" borderId="26" xfId="0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4" fontId="0" fillId="0" borderId="0" xfId="0" applyNumberFormat="1" applyFill="1" applyBorder="1" applyAlignment="1" applyProtection="1">
      <alignment horizontal="left"/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3" fontId="0" fillId="0" borderId="1" xfId="0" applyNumberFormat="1" applyFill="1" applyBorder="1" applyAlignment="1" applyProtection="1">
      <alignment horizontal="center" vertical="center"/>
      <protection hidden="1"/>
    </xf>
    <xf numFmtId="4" fontId="0" fillId="5" borderId="1" xfId="0" applyNumberFormat="1" applyFill="1" applyBorder="1" applyAlignment="1" applyProtection="1">
      <alignment horizontal="center" vertical="center"/>
      <protection hidden="1"/>
    </xf>
    <xf numFmtId="3" fontId="0" fillId="5" borderId="1" xfId="0" applyNumberForma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3" fontId="0" fillId="3" borderId="1" xfId="0" applyNumberForma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/>
      <protection hidden="1"/>
    </xf>
    <xf numFmtId="3" fontId="0" fillId="5" borderId="1" xfId="0" applyNumberFormat="1" applyFill="1" applyBorder="1" applyAlignment="1" applyProtection="1">
      <alignment horizontal="center"/>
      <protection hidden="1"/>
    </xf>
    <xf numFmtId="165" fontId="0" fillId="0" borderId="1" xfId="0" applyNumberFormat="1" applyBorder="1" applyAlignment="1" applyProtection="1">
      <alignment horizontal="center" vertical="center"/>
      <protection hidden="1"/>
    </xf>
    <xf numFmtId="0" fontId="4" fillId="6" borderId="1" xfId="0" applyFont="1" applyFill="1" applyBorder="1" applyAlignment="1" applyProtection="1">
      <alignment horizontal="center" vertical="center"/>
      <protection hidden="1"/>
    </xf>
    <xf numFmtId="3" fontId="4" fillId="6" borderId="1" xfId="0" applyNumberFormat="1" applyFont="1" applyFill="1" applyBorder="1" applyAlignment="1" applyProtection="1">
      <alignment horizontal="center" vertical="center"/>
      <protection hidden="1"/>
    </xf>
    <xf numFmtId="165" fontId="4" fillId="6" borderId="1" xfId="0" applyNumberFormat="1" applyFont="1" applyFill="1" applyBorder="1" applyAlignment="1" applyProtection="1">
      <alignment horizontal="center" vertical="center"/>
      <protection hidden="1"/>
    </xf>
    <xf numFmtId="3" fontId="4" fillId="6" borderId="1" xfId="0" applyNumberFormat="1" applyFont="1" applyFill="1" applyBorder="1" applyAlignment="1" applyProtection="1">
      <alignment horizontal="center"/>
      <protection hidden="1"/>
    </xf>
    <xf numFmtId="0" fontId="0" fillId="0" borderId="1" xfId="0" applyFont="1" applyFill="1" applyBorder="1" applyAlignment="1" applyProtection="1">
      <alignment horizontal="center" vertical="center"/>
      <protection hidden="1"/>
    </xf>
    <xf numFmtId="3" fontId="0" fillId="0" borderId="1" xfId="0" applyNumberFormat="1" applyFont="1" applyFill="1" applyBorder="1" applyAlignment="1" applyProtection="1">
      <alignment horizontal="center" vertical="center"/>
      <protection hidden="1"/>
    </xf>
    <xf numFmtId="165" fontId="0" fillId="0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1" xfId="0" applyNumberFormat="1" applyFont="1" applyFill="1" applyBorder="1" applyAlignment="1" applyProtection="1">
      <alignment horizontal="center"/>
      <protection hidden="1"/>
    </xf>
    <xf numFmtId="3" fontId="0" fillId="2" borderId="1" xfId="0" applyNumberFormat="1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right"/>
      <protection hidden="1"/>
    </xf>
    <xf numFmtId="2" fontId="0" fillId="4" borderId="2" xfId="0" applyNumberFormat="1" applyFill="1" applyBorder="1" applyAlignment="1" applyProtection="1">
      <alignment horizontal="center" vertical="center"/>
      <protection hidden="1"/>
    </xf>
    <xf numFmtId="4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10" fontId="0" fillId="4" borderId="2" xfId="0" applyNumberFormat="1" applyFill="1" applyBorder="1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t-PT" sz="1100"/>
              <a:t>Investimento</a:t>
            </a:r>
            <a:r>
              <a:rPr lang="pt-PT" sz="1100" baseline="0"/>
              <a:t> vs Redução de custos</a:t>
            </a:r>
          </a:p>
        </c:rich>
      </c:tx>
      <c:layout/>
      <c:overlay val="1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Fotovoltaicos!$H$34</c:f>
              <c:strCache>
                <c:ptCount val="1"/>
                <c:pt idx="0">
                  <c:v>Investimento Acumulado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Fotovoltaicos!$B$35:$B$55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Fotovoltaicos!$H$35:$H$55</c:f>
              <c:numCache>
                <c:formatCode>#,##0</c:formatCode>
                <c:ptCount val="21"/>
                <c:pt idx="0">
                  <c:v>126000</c:v>
                </c:pt>
                <c:pt idx="1">
                  <c:v>127260</c:v>
                </c:pt>
                <c:pt idx="2">
                  <c:v>128551.5</c:v>
                </c:pt>
                <c:pt idx="3">
                  <c:v>129875.28750000001</c:v>
                </c:pt>
                <c:pt idx="4">
                  <c:v>131232.16968750002</c:v>
                </c:pt>
                <c:pt idx="5">
                  <c:v>132622.97392968752</c:v>
                </c:pt>
                <c:pt idx="6">
                  <c:v>134048.54827792972</c:v>
                </c:pt>
                <c:pt idx="7">
                  <c:v>135509.76198487796</c:v>
                </c:pt>
                <c:pt idx="8">
                  <c:v>137007.50603449991</c:v>
                </c:pt>
                <c:pt idx="9">
                  <c:v>138542.69368536241</c:v>
                </c:pt>
                <c:pt idx="10">
                  <c:v>140116.26102749645</c:v>
                </c:pt>
                <c:pt idx="11">
                  <c:v>141729.16755318386</c:v>
                </c:pt>
                <c:pt idx="12">
                  <c:v>143382.39674201346</c:v>
                </c:pt>
                <c:pt idx="13">
                  <c:v>145076.9566605638</c:v>
                </c:pt>
                <c:pt idx="14">
                  <c:v>146813.88057707789</c:v>
                </c:pt>
                <c:pt idx="15">
                  <c:v>148594.22759150484</c:v>
                </c:pt>
                <c:pt idx="16">
                  <c:v>150419.08328129246</c:v>
                </c:pt>
                <c:pt idx="17">
                  <c:v>152289.56036332477</c:v>
                </c:pt>
                <c:pt idx="18">
                  <c:v>154206.7993724079</c:v>
                </c:pt>
                <c:pt idx="19">
                  <c:v>156171.96935671809</c:v>
                </c:pt>
                <c:pt idx="20">
                  <c:v>158186.26859063606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Fotovoltaicos!$I$34</c:f>
              <c:strCache>
                <c:ptCount val="1"/>
                <c:pt idx="0">
                  <c:v>Redução de custos acumulado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Fotovoltaicos!$B$35:$B$55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Fotovoltaicos!$I$35:$I$55</c:f>
              <c:numCache>
                <c:formatCode>#,##0</c:formatCode>
                <c:ptCount val="21"/>
                <c:pt idx="1">
                  <c:v>13298.25720949145</c:v>
                </c:pt>
                <c:pt idx="2">
                  <c:v>26928.97084922019</c:v>
                </c:pt>
                <c:pt idx="3">
                  <c:v>40900.452329942142</c:v>
                </c:pt>
                <c:pt idx="4">
                  <c:v>55221.220847682147</c:v>
                </c:pt>
                <c:pt idx="5">
                  <c:v>69900.008578365654</c:v>
                </c:pt>
                <c:pt idx="6">
                  <c:v>84945.766002316246</c:v>
                </c:pt>
                <c:pt idx="7">
                  <c:v>100367.66736186561</c:v>
                </c:pt>
                <c:pt idx="8">
                  <c:v>116175.1162554037</c:v>
                </c:pt>
                <c:pt idx="9">
                  <c:v>132377.75137128023</c:v>
                </c:pt>
                <c:pt idx="10">
                  <c:v>148985.4523650537</c:v>
                </c:pt>
                <c:pt idx="11">
                  <c:v>166008.34588367149</c:v>
                </c:pt>
                <c:pt idx="12">
                  <c:v>183456.81174025472</c:v>
                </c:pt>
                <c:pt idx="13">
                  <c:v>201341.48924325252</c:v>
                </c:pt>
                <c:pt idx="14">
                  <c:v>219673.28368382528</c:v>
                </c:pt>
                <c:pt idx="15">
                  <c:v>238463.37298541237</c:v>
                </c:pt>
                <c:pt idx="16">
                  <c:v>257723.21451953912</c:v>
                </c:pt>
                <c:pt idx="17">
                  <c:v>277464.55209201906</c:v>
                </c:pt>
                <c:pt idx="18">
                  <c:v>297699.42310381099</c:v>
                </c:pt>
                <c:pt idx="19">
                  <c:v>318440.16589089768</c:v>
                </c:pt>
                <c:pt idx="20">
                  <c:v>339699.42724766157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001216"/>
        <c:axId val="137003392"/>
      </c:lineChart>
      <c:catAx>
        <c:axId val="13700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Anos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pt-PT"/>
          </a:p>
        </c:txPr>
        <c:crossAx val="137003392"/>
        <c:crosses val="autoZero"/>
        <c:auto val="1"/>
        <c:lblAlgn val="ctr"/>
        <c:lblOffset val="100"/>
        <c:noMultiLvlLbl val="0"/>
      </c:catAx>
      <c:valAx>
        <c:axId val="1370033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Euros</a:t>
                </a:r>
                <a:r>
                  <a:rPr lang="pt-PT" baseline="0"/>
                  <a:t> (€)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pt-PT"/>
          </a:p>
        </c:txPr>
        <c:crossAx val="13700121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660699397869384"/>
          <c:y val="0.89986222526932669"/>
          <c:w val="0.69857029879998622"/>
          <c:h val="7.2408153818608975E-2"/>
        </c:manualLayout>
      </c:layout>
      <c:overlay val="0"/>
      <c:txPr>
        <a:bodyPr/>
        <a:lstStyle/>
        <a:p>
          <a:pPr>
            <a:defRPr sz="800"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t-PT" sz="1100"/>
              <a:t>Investimento</a:t>
            </a:r>
            <a:r>
              <a:rPr lang="pt-PT" sz="1100" baseline="0"/>
              <a:t> vs Redução de custos</a:t>
            </a:r>
          </a:p>
        </c:rich>
      </c:tx>
      <c:layout/>
      <c:overlay val="1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Fotovoltaicos!$S$34</c:f>
              <c:strCache>
                <c:ptCount val="1"/>
                <c:pt idx="0">
                  <c:v>Investimento Acumulado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Fotovoltaicos!$B$35:$B$55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Fotovoltaicos!$S$35:$S$55</c:f>
              <c:numCache>
                <c:formatCode>#,##0</c:formatCode>
                <c:ptCount val="21"/>
                <c:pt idx="0">
                  <c:v>126000</c:v>
                </c:pt>
                <c:pt idx="1">
                  <c:v>127260</c:v>
                </c:pt>
                <c:pt idx="2">
                  <c:v>128551.5</c:v>
                </c:pt>
                <c:pt idx="3">
                  <c:v>129875.28750000001</c:v>
                </c:pt>
                <c:pt idx="4">
                  <c:v>131232.16968750002</c:v>
                </c:pt>
                <c:pt idx="5">
                  <c:v>132622.97392968752</c:v>
                </c:pt>
                <c:pt idx="6">
                  <c:v>134048.54827792972</c:v>
                </c:pt>
                <c:pt idx="7">
                  <c:v>135509.76198487796</c:v>
                </c:pt>
                <c:pt idx="8">
                  <c:v>137007.50603449991</c:v>
                </c:pt>
                <c:pt idx="9">
                  <c:v>138542.69368536241</c:v>
                </c:pt>
                <c:pt idx="10">
                  <c:v>140116.26102749645</c:v>
                </c:pt>
                <c:pt idx="11">
                  <c:v>141729.16755318386</c:v>
                </c:pt>
                <c:pt idx="12">
                  <c:v>143382.39674201346</c:v>
                </c:pt>
                <c:pt idx="13">
                  <c:v>145076.9566605638</c:v>
                </c:pt>
                <c:pt idx="14">
                  <c:v>146813.88057707789</c:v>
                </c:pt>
                <c:pt idx="15">
                  <c:v>148594.22759150484</c:v>
                </c:pt>
                <c:pt idx="16">
                  <c:v>150419.08328129246</c:v>
                </c:pt>
                <c:pt idx="17">
                  <c:v>152289.56036332477</c:v>
                </c:pt>
                <c:pt idx="18">
                  <c:v>154206.7993724079</c:v>
                </c:pt>
                <c:pt idx="19">
                  <c:v>156171.96935671809</c:v>
                </c:pt>
                <c:pt idx="20">
                  <c:v>158186.26859063606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Fotovoltaicos!$T$34</c:f>
              <c:strCache>
                <c:ptCount val="1"/>
                <c:pt idx="0">
                  <c:v>Redução de custos acumulado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Fotovoltaicos!$B$35:$B$55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Fotovoltaicos!$T$35:$T$55</c:f>
              <c:numCache>
                <c:formatCode>#,##0</c:formatCode>
                <c:ptCount val="21"/>
                <c:pt idx="1">
                  <c:v>6938.2211527781474</c:v>
                </c:pt>
                <c:pt idx="2">
                  <c:v>14049.897834375748</c:v>
                </c:pt>
                <c:pt idx="3">
                  <c:v>21339.366433013289</c:v>
                </c:pt>
                <c:pt idx="4">
                  <c:v>28811.07174661677</c:v>
                </c:pt>
                <c:pt idx="5">
                  <c:v>36469.569693060337</c:v>
                </c:pt>
                <c:pt idx="6">
                  <c:v>44319.530088164989</c:v>
                </c:pt>
                <c:pt idx="7">
                  <c:v>52365.739493147259</c:v>
                </c:pt>
                <c:pt idx="8">
                  <c:v>60613.104133254092</c:v>
                </c:pt>
                <c:pt idx="9">
                  <c:v>69066.652889363584</c:v>
                </c:pt>
                <c:pt idx="10">
                  <c:v>77731.540364375818</c:v>
                </c:pt>
                <c:pt idx="11">
                  <c:v>86613.050026263358</c:v>
                </c:pt>
                <c:pt idx="12">
                  <c:v>95716.597429698086</c:v>
                </c:pt>
                <c:pt idx="13">
                  <c:v>105047.73351821868</c:v>
                </c:pt>
                <c:pt idx="14">
                  <c:v>114612.1480089523</c:v>
                </c:pt>
                <c:pt idx="15">
                  <c:v>124415.67286195426</c:v>
                </c:pt>
                <c:pt idx="16">
                  <c:v>134464.28583628125</c:v>
                </c:pt>
                <c:pt idx="17">
                  <c:v>144764.11413496642</c:v>
                </c:pt>
                <c:pt idx="18">
                  <c:v>155321.43814111874</c:v>
                </c:pt>
                <c:pt idx="19">
                  <c:v>166142.69524742485</c:v>
                </c:pt>
                <c:pt idx="20">
                  <c:v>177234.48378138861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45248"/>
        <c:axId val="136651520"/>
      </c:lineChart>
      <c:catAx>
        <c:axId val="136645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Anos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pt-PT"/>
          </a:p>
        </c:txPr>
        <c:crossAx val="136651520"/>
        <c:crosses val="autoZero"/>
        <c:auto val="1"/>
        <c:lblAlgn val="ctr"/>
        <c:lblOffset val="100"/>
        <c:noMultiLvlLbl val="0"/>
      </c:catAx>
      <c:valAx>
        <c:axId val="1366515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/>
                  <a:t>Euros</a:t>
                </a:r>
                <a:r>
                  <a:rPr lang="pt-PT" baseline="0"/>
                  <a:t> (€)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pt-PT"/>
          </a:p>
        </c:txPr>
        <c:crossAx val="13664524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660699397869384"/>
          <c:y val="0.89986222526932669"/>
          <c:w val="0.69857029879998622"/>
          <c:h val="7.2408153818608975E-2"/>
        </c:manualLayout>
      </c:layout>
      <c:overlay val="0"/>
      <c:txPr>
        <a:bodyPr/>
        <a:lstStyle/>
        <a:p>
          <a:pPr>
            <a:defRPr sz="800"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76198</xdr:colOff>
      <xdr:row>59</xdr:row>
      <xdr:rowOff>66675</xdr:rowOff>
    </xdr:from>
    <xdr:to>
      <xdr:col>8</xdr:col>
      <xdr:colOff>180974</xdr:colOff>
      <xdr:row>77</xdr:row>
      <xdr:rowOff>66675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47625</xdr:colOff>
      <xdr:row>59</xdr:row>
      <xdr:rowOff>38100</xdr:rowOff>
    </xdr:from>
    <xdr:to>
      <xdr:col>18</xdr:col>
      <xdr:colOff>723901</xdr:colOff>
      <xdr:row>77</xdr:row>
      <xdr:rowOff>38100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247650</xdr:colOff>
      <xdr:row>12</xdr:row>
      <xdr:rowOff>9525</xdr:rowOff>
    </xdr:from>
    <xdr:to>
      <xdr:col>5</xdr:col>
      <xdr:colOff>333375</xdr:colOff>
      <xdr:row>14</xdr:row>
      <xdr:rowOff>95250</xdr:rowOff>
    </xdr:to>
    <xdr:pic>
      <xdr:nvPicPr>
        <xdr:cNvPr id="4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2381250"/>
          <a:ext cx="27051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276225</xdr:colOff>
      <xdr:row>13</xdr:row>
      <xdr:rowOff>85725</xdr:rowOff>
    </xdr:from>
    <xdr:to>
      <xdr:col>5</xdr:col>
      <xdr:colOff>742950</xdr:colOff>
      <xdr:row>14</xdr:row>
      <xdr:rowOff>104775</xdr:rowOff>
    </xdr:to>
    <xdr:cxnSp macro="">
      <xdr:nvCxnSpPr>
        <xdr:cNvPr id="14" name="Conexão em ângulos rectos 13"/>
        <xdr:cNvCxnSpPr/>
      </xdr:nvCxnSpPr>
      <xdr:spPr>
        <a:xfrm>
          <a:off x="2209800" y="2647950"/>
          <a:ext cx="1762125" cy="238125"/>
        </a:xfrm>
        <a:prstGeom prst="bentConnector3">
          <a:avLst>
            <a:gd name="adj1" fmla="val -193"/>
          </a:avLst>
        </a:prstGeom>
        <a:ln>
          <a:solidFill>
            <a:schemeClr val="tx2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0.45037</cdr:x>
      <cdr:y>0.375</cdr:y>
    </cdr:from>
    <cdr:to>
      <cdr:x>0.52757</cdr:x>
      <cdr:y>0.49444</cdr:y>
    </cdr:to>
    <cdr:cxnSp macro="">
      <cdr:nvCxnSpPr>
        <cdr:cNvPr id="3" name="Conexão em ângulos rectos 2"/>
        <cdr:cNvCxnSpPr/>
      </cdr:nvCxnSpPr>
      <cdr:spPr>
        <a:xfrm xmlns:a="http://schemas.openxmlformats.org/drawingml/2006/main" rot="16200000" flipH="1">
          <a:off x="2328869" y="1290639"/>
          <a:ext cx="409571" cy="400048"/>
        </a:xfrm>
        <a:prstGeom xmlns:a="http://schemas.openxmlformats.org/drawingml/2006/main" prst="bentConnector3">
          <a:avLst>
            <a:gd name="adj1" fmla="val 50000"/>
          </a:avLst>
        </a:prstGeom>
        <a:ln xmlns:a="http://schemas.openxmlformats.org/drawingml/2006/main">
          <a:solidFill>
            <a:schemeClr val="tx2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0.28757</cdr:x>
      <cdr:y>0.2929</cdr:y>
    </cdr:from>
    <cdr:to>
      <cdr:x>0.61478</cdr:x>
      <cdr:y>0.37623</cdr:y>
    </cdr:to>
    <cdr:sp macro="" textlink="">
      <cdr:nvSpPr>
        <cdr:cNvPr id="7" name="CaixaDeTexto 6"/>
        <cdr:cNvSpPr txBox="1"/>
      </cdr:nvSpPr>
      <cdr:spPr>
        <a:xfrm xmlns:a="http://schemas.openxmlformats.org/drawingml/2006/main">
          <a:off x="1490479" y="1004348"/>
          <a:ext cx="1695894" cy="2857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2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PT" sz="1050" i="1"/>
            <a:t>Payback Period </a:t>
          </a:r>
          <a:r>
            <a:rPr lang="pt-PT" sz="1050"/>
            <a:t>= 9,41 anos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0.57627</cdr:x>
      <cdr:y>0.48866</cdr:y>
    </cdr:from>
    <cdr:to>
      <cdr:x>0.91002</cdr:x>
      <cdr:y>0.57199</cdr:y>
    </cdr:to>
    <cdr:sp macro="" textlink="">
      <cdr:nvSpPr>
        <cdr:cNvPr id="7" name="CaixaDeTexto 6"/>
        <cdr:cNvSpPr txBox="1"/>
      </cdr:nvSpPr>
      <cdr:spPr>
        <a:xfrm xmlns:a="http://schemas.openxmlformats.org/drawingml/2006/main">
          <a:off x="2983983" y="1675616"/>
          <a:ext cx="1728207" cy="285739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2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PT" sz="1050" i="1"/>
            <a:t>Payback Period </a:t>
          </a:r>
          <a:r>
            <a:rPr lang="pt-PT" sz="1050"/>
            <a:t>= 17,87 anos</a:t>
          </a:r>
        </a:p>
      </cdr:txBody>
    </cdr:sp>
  </cdr:relSizeAnchor>
  <cdr:relSizeAnchor xmlns:cdr="http://schemas.openxmlformats.org/drawingml/2006/chartDrawing">
    <cdr:from>
      <cdr:x>0.74449</cdr:x>
      <cdr:y>0.23889</cdr:y>
    </cdr:from>
    <cdr:to>
      <cdr:x>0.875</cdr:x>
      <cdr:y>0.48889</cdr:y>
    </cdr:to>
    <cdr:cxnSp macro="">
      <cdr:nvCxnSpPr>
        <cdr:cNvPr id="8" name="Conexão em ângulos rectos 7"/>
        <cdr:cNvCxnSpPr/>
      </cdr:nvCxnSpPr>
      <cdr:spPr>
        <a:xfrm xmlns:a="http://schemas.openxmlformats.org/drawingml/2006/main" rot="5400000" flipH="1" flipV="1">
          <a:off x="3767139" y="909639"/>
          <a:ext cx="857250" cy="676272"/>
        </a:xfrm>
        <a:prstGeom xmlns:a="http://schemas.openxmlformats.org/drawingml/2006/main" prst="bentConnector3">
          <a:avLst/>
        </a:prstGeom>
        <a:ln xmlns:a="http://schemas.openxmlformats.org/drawingml/2006/main">
          <a:solidFill>
            <a:schemeClr val="tx2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C58"/>
  <sheetViews>
    <sheetView tabSelected="1" zoomScaleNormal="100" workbookViewId="0">
      <selection activeCell="J7" sqref="J7"/>
    </sheetView>
  </sheetViews>
  <sheetFormatPr defaultRowHeight="15" x14ac:dyDescent="0.25"/>
  <cols>
    <col min="1" max="2" width="9.140625" style="1"/>
    <col min="3" max="3" width="10.7109375" style="1" customWidth="1"/>
    <col min="4" max="4" width="9.140625" style="1"/>
    <col min="5" max="5" width="10.28515625" style="1" customWidth="1"/>
    <col min="6" max="6" width="15.140625" style="1" bestFit="1" customWidth="1"/>
    <col min="7" max="7" width="11" style="1" customWidth="1"/>
    <col min="8" max="8" width="10.7109375" style="1" customWidth="1"/>
    <col min="9" max="9" width="10.140625" style="1" bestFit="1" customWidth="1"/>
    <col min="10" max="10" width="11" style="1" customWidth="1"/>
    <col min="11" max="12" width="10.85546875" style="1" customWidth="1"/>
    <col min="13" max="13" width="11.28515625" style="1" customWidth="1"/>
    <col min="14" max="14" width="10.85546875" style="1" customWidth="1"/>
    <col min="15" max="15" width="10.28515625" style="1" customWidth="1"/>
    <col min="16" max="16" width="9.140625" style="1"/>
    <col min="17" max="17" width="15.140625" style="1" bestFit="1" customWidth="1"/>
    <col min="18" max="18" width="10.85546875" style="1" bestFit="1" customWidth="1"/>
    <col min="19" max="19" width="11.28515625" style="1" customWidth="1"/>
    <col min="20" max="20" width="10.5703125" style="1" customWidth="1"/>
    <col min="21" max="24" width="9.140625" style="1"/>
    <col min="25" max="25" width="24.7109375" style="1" bestFit="1" customWidth="1"/>
    <col min="26" max="28" width="9.140625" style="1"/>
    <col min="29" max="29" width="11" style="1" bestFit="1" customWidth="1"/>
    <col min="30" max="16384" width="9.140625" style="1"/>
  </cols>
  <sheetData>
    <row r="1" spans="2:29" ht="15.75" thickBot="1" x14ac:dyDescent="0.3"/>
    <row r="2" spans="2:29" x14ac:dyDescent="0.25">
      <c r="E2" s="2" t="s">
        <v>16</v>
      </c>
      <c r="F2" s="3"/>
      <c r="G2" s="3"/>
      <c r="H2" s="3"/>
      <c r="I2" s="3"/>
      <c r="J2" s="4"/>
      <c r="M2" s="2" t="s">
        <v>18</v>
      </c>
      <c r="N2" s="3"/>
      <c r="O2" s="3"/>
      <c r="P2" s="3"/>
      <c r="Q2" s="4"/>
      <c r="T2" s="5" t="s">
        <v>40</v>
      </c>
      <c r="U2" s="6"/>
      <c r="V2" s="6"/>
      <c r="W2" s="7"/>
      <c r="Y2" s="5" t="s">
        <v>45</v>
      </c>
      <c r="Z2" s="6"/>
      <c r="AA2" s="6"/>
      <c r="AB2" s="6"/>
      <c r="AC2" s="8" t="s">
        <v>46</v>
      </c>
    </row>
    <row r="3" spans="2:29" x14ac:dyDescent="0.25">
      <c r="D3" s="9"/>
      <c r="E3" s="10"/>
      <c r="F3" s="11"/>
      <c r="G3" s="11"/>
      <c r="H3" s="11"/>
      <c r="I3" s="12" t="s">
        <v>7</v>
      </c>
      <c r="J3" s="13">
        <v>240</v>
      </c>
      <c r="M3" s="10"/>
      <c r="N3" s="11"/>
      <c r="O3" s="12" t="s">
        <v>19</v>
      </c>
      <c r="P3" s="14">
        <v>0.12</v>
      </c>
      <c r="Q3" s="15"/>
      <c r="T3" s="16" t="s">
        <v>43</v>
      </c>
      <c r="U3" s="17"/>
      <c r="V3" s="17"/>
      <c r="W3" s="18"/>
      <c r="Y3" s="19" t="s">
        <v>47</v>
      </c>
      <c r="Z3" s="20" t="s">
        <v>48</v>
      </c>
      <c r="AA3" s="21"/>
      <c r="AB3" s="21"/>
      <c r="AC3" s="22" t="s">
        <v>51</v>
      </c>
    </row>
    <row r="4" spans="2:29" ht="15" customHeight="1" thickBot="1" x14ac:dyDescent="0.3">
      <c r="E4" s="10"/>
      <c r="F4" s="11"/>
      <c r="G4" s="11"/>
      <c r="H4" s="11"/>
      <c r="I4" s="12" t="s">
        <v>8</v>
      </c>
      <c r="J4" s="13">
        <v>1.64</v>
      </c>
      <c r="M4" s="10"/>
      <c r="N4" s="11"/>
      <c r="O4" s="12" t="s">
        <v>20</v>
      </c>
      <c r="P4" s="14">
        <v>0.23</v>
      </c>
      <c r="Q4" s="15"/>
      <c r="T4" s="23" t="s">
        <v>52</v>
      </c>
      <c r="U4" s="24"/>
      <c r="V4" s="24"/>
      <c r="W4" s="25">
        <f>Q7</f>
        <v>500</v>
      </c>
      <c r="Y4" s="26" t="s">
        <v>49</v>
      </c>
      <c r="Z4" s="27" t="s">
        <v>50</v>
      </c>
      <c r="AA4" s="28"/>
      <c r="AB4" s="28"/>
      <c r="AC4" s="29">
        <f>J21</f>
        <v>13298.25720949145</v>
      </c>
    </row>
    <row r="5" spans="2:29" ht="17.25" x14ac:dyDescent="0.25">
      <c r="E5" s="10"/>
      <c r="F5" s="11"/>
      <c r="G5" s="11"/>
      <c r="H5" s="11"/>
      <c r="I5" s="12" t="s">
        <v>9</v>
      </c>
      <c r="J5" s="13">
        <v>300</v>
      </c>
      <c r="M5" s="30"/>
      <c r="N5" s="31"/>
      <c r="O5" s="31"/>
      <c r="P5" s="31"/>
      <c r="Q5" s="32"/>
      <c r="T5" s="23" t="s">
        <v>53</v>
      </c>
      <c r="U5" s="24"/>
      <c r="V5" s="24"/>
      <c r="W5" s="25">
        <f>Q9</f>
        <v>35000</v>
      </c>
    </row>
    <row r="6" spans="2:29" x14ac:dyDescent="0.25">
      <c r="E6" s="10"/>
      <c r="F6" s="11"/>
      <c r="G6" s="11"/>
      <c r="H6" s="11"/>
      <c r="I6" s="12" t="s">
        <v>10</v>
      </c>
      <c r="J6" s="13">
        <f>J5/J4</f>
        <v>182.92682926829269</v>
      </c>
      <c r="M6" s="10"/>
      <c r="N6" s="11"/>
      <c r="O6" s="11"/>
      <c r="P6" s="12" t="s">
        <v>24</v>
      </c>
      <c r="Q6" s="15"/>
      <c r="T6" s="23" t="s">
        <v>41</v>
      </c>
      <c r="U6" s="24"/>
      <c r="V6" s="24"/>
      <c r="W6" s="25">
        <f>Q12</f>
        <v>126000</v>
      </c>
    </row>
    <row r="7" spans="2:29" x14ac:dyDescent="0.25">
      <c r="E7" s="10"/>
      <c r="F7" s="11"/>
      <c r="G7" s="11"/>
      <c r="H7" s="11"/>
      <c r="I7" s="12" t="s">
        <v>55</v>
      </c>
      <c r="J7" s="33">
        <f>182*J3</f>
        <v>43680</v>
      </c>
      <c r="M7" s="10"/>
      <c r="N7" s="11"/>
      <c r="O7" s="11"/>
      <c r="P7" s="12" t="s">
        <v>28</v>
      </c>
      <c r="Q7" s="34">
        <v>500</v>
      </c>
      <c r="T7" s="35"/>
      <c r="U7" s="36"/>
      <c r="V7" s="36"/>
      <c r="W7" s="37"/>
    </row>
    <row r="8" spans="2:29" ht="15.75" thickBot="1" x14ac:dyDescent="0.3">
      <c r="D8" s="11"/>
      <c r="E8" s="38"/>
      <c r="F8" s="39"/>
      <c r="G8" s="39"/>
      <c r="H8" s="39"/>
      <c r="I8" s="40" t="s">
        <v>56</v>
      </c>
      <c r="J8" s="41">
        <f>J7/1000</f>
        <v>43.68</v>
      </c>
      <c r="K8" s="11"/>
      <c r="L8" s="11"/>
      <c r="M8" s="10"/>
      <c r="N8" s="11"/>
      <c r="O8" s="11"/>
      <c r="P8" s="12"/>
      <c r="Q8" s="34"/>
      <c r="T8" s="42" t="s">
        <v>42</v>
      </c>
      <c r="U8" s="43"/>
      <c r="V8" s="43"/>
      <c r="W8" s="29">
        <f>Q15</f>
        <v>1260</v>
      </c>
    </row>
    <row r="9" spans="2:29" x14ac:dyDescent="0.25">
      <c r="D9" s="11"/>
      <c r="E9" s="11"/>
      <c r="F9" s="11"/>
      <c r="G9" s="11"/>
      <c r="H9" s="11"/>
      <c r="I9" s="12"/>
      <c r="J9" s="44"/>
      <c r="K9" s="11"/>
      <c r="L9" s="11"/>
      <c r="M9" s="10"/>
      <c r="N9" s="11"/>
      <c r="O9" s="11"/>
      <c r="P9" s="12" t="s">
        <v>25</v>
      </c>
      <c r="Q9" s="34">
        <v>35000</v>
      </c>
      <c r="T9" s="45"/>
      <c r="U9" s="45"/>
      <c r="V9" s="45"/>
      <c r="W9" s="45"/>
    </row>
    <row r="10" spans="2:29" ht="15.75" thickBot="1" x14ac:dyDescent="0.3">
      <c r="K10" s="11"/>
      <c r="L10" s="11"/>
      <c r="M10" s="10"/>
      <c r="N10" s="11"/>
      <c r="O10" s="11"/>
      <c r="P10" s="11"/>
      <c r="Q10" s="15"/>
    </row>
    <row r="11" spans="2:29" x14ac:dyDescent="0.25">
      <c r="B11" s="2" t="s">
        <v>29</v>
      </c>
      <c r="C11" s="3"/>
      <c r="D11" s="3"/>
      <c r="E11" s="3"/>
      <c r="F11" s="3"/>
      <c r="G11" s="3"/>
      <c r="H11" s="3"/>
      <c r="I11" s="3"/>
      <c r="J11" s="4"/>
      <c r="K11" s="11"/>
      <c r="L11" s="11"/>
      <c r="M11" s="10"/>
      <c r="N11" s="11"/>
      <c r="O11" s="11"/>
      <c r="P11" s="12" t="s">
        <v>21</v>
      </c>
      <c r="Q11" s="46"/>
    </row>
    <row r="12" spans="2:29" ht="17.25" x14ac:dyDescent="0.25">
      <c r="B12" s="10"/>
      <c r="C12" s="11"/>
      <c r="D12" s="11"/>
      <c r="E12" s="11"/>
      <c r="F12" s="11"/>
      <c r="G12" s="11"/>
      <c r="H12" s="11"/>
      <c r="I12" s="12" t="s">
        <v>11</v>
      </c>
      <c r="J12" s="33">
        <v>185.31</v>
      </c>
      <c r="K12" s="11"/>
      <c r="L12" s="11"/>
      <c r="M12" s="10"/>
      <c r="N12" s="11"/>
      <c r="O12" s="11"/>
      <c r="P12" s="12" t="s">
        <v>26</v>
      </c>
      <c r="Q12" s="33">
        <f>Q9+Q7*182</f>
        <v>126000</v>
      </c>
    </row>
    <row r="13" spans="2:29" x14ac:dyDescent="0.25">
      <c r="B13" s="10"/>
      <c r="C13" s="11"/>
      <c r="D13" s="11"/>
      <c r="E13" s="11"/>
      <c r="F13" s="11"/>
      <c r="G13" s="11"/>
      <c r="H13" s="11"/>
      <c r="I13" s="12" t="s">
        <v>12</v>
      </c>
      <c r="J13" s="47">
        <v>0.1613</v>
      </c>
      <c r="K13" s="11"/>
      <c r="L13" s="11"/>
      <c r="M13" s="10"/>
      <c r="N13" s="11"/>
      <c r="O13" s="11"/>
      <c r="P13" s="12"/>
      <c r="Q13" s="33"/>
    </row>
    <row r="14" spans="2:29" ht="17.25" x14ac:dyDescent="0.25">
      <c r="B14" s="10"/>
      <c r="C14" s="11"/>
      <c r="D14" s="11"/>
      <c r="E14" s="11"/>
      <c r="F14" s="11"/>
      <c r="G14" s="11"/>
      <c r="H14" s="11"/>
      <c r="I14" s="12" t="s">
        <v>8</v>
      </c>
      <c r="J14" s="13">
        <v>1.64</v>
      </c>
      <c r="K14" s="11"/>
      <c r="L14" s="11"/>
      <c r="M14" s="10"/>
      <c r="N14" s="11"/>
      <c r="O14" s="11"/>
      <c r="P14" s="12" t="s">
        <v>27</v>
      </c>
      <c r="Q14" s="15"/>
    </row>
    <row r="15" spans="2:29" x14ac:dyDescent="0.25">
      <c r="B15" s="10"/>
      <c r="C15" s="11"/>
      <c r="D15" s="11"/>
      <c r="E15" s="11"/>
      <c r="F15" s="11"/>
      <c r="G15" s="11"/>
      <c r="H15" s="11"/>
      <c r="I15" s="12" t="s">
        <v>13</v>
      </c>
      <c r="J15" s="33">
        <f>(0.9*8760*J12)/1000*J13*J14</f>
        <v>386.47703006927998</v>
      </c>
      <c r="K15" s="11"/>
      <c r="L15" s="11"/>
      <c r="M15" s="10"/>
      <c r="N15" s="11"/>
      <c r="O15" s="11"/>
      <c r="P15" s="12" t="s">
        <v>44</v>
      </c>
      <c r="Q15" s="34">
        <f>Q12*1%</f>
        <v>1260</v>
      </c>
    </row>
    <row r="16" spans="2:29" ht="15" customHeight="1" x14ac:dyDescent="0.25">
      <c r="B16" s="10"/>
      <c r="C16" s="11"/>
      <c r="D16" s="11"/>
      <c r="E16" s="11"/>
      <c r="F16" s="11"/>
      <c r="G16" s="11"/>
      <c r="H16" s="11"/>
      <c r="I16" s="12" t="s">
        <v>14</v>
      </c>
      <c r="J16" s="33">
        <f>J15*182</f>
        <v>70338.819472608957</v>
      </c>
      <c r="K16" s="11"/>
      <c r="L16" s="11"/>
      <c r="M16" s="30"/>
      <c r="N16" s="31"/>
      <c r="O16" s="31"/>
      <c r="P16" s="31"/>
      <c r="Q16" s="32"/>
    </row>
    <row r="17" spans="2:18" x14ac:dyDescent="0.25">
      <c r="B17" s="30"/>
      <c r="C17" s="31"/>
      <c r="D17" s="31"/>
      <c r="E17" s="31"/>
      <c r="F17" s="31"/>
      <c r="G17" s="31"/>
      <c r="H17" s="31"/>
      <c r="I17" s="48"/>
      <c r="J17" s="49"/>
      <c r="M17" s="10"/>
      <c r="N17" s="11"/>
      <c r="O17" s="11"/>
      <c r="P17" s="12" t="s">
        <v>22</v>
      </c>
      <c r="Q17" s="46"/>
    </row>
    <row r="18" spans="2:18" ht="15.75" thickBot="1" x14ac:dyDescent="0.3">
      <c r="B18" s="10"/>
      <c r="C18" s="11"/>
      <c r="D18" s="11"/>
      <c r="E18" s="11"/>
      <c r="F18" s="11"/>
      <c r="G18" s="11"/>
      <c r="H18" s="11"/>
      <c r="I18" s="12" t="s">
        <v>17</v>
      </c>
      <c r="J18" s="33"/>
      <c r="M18" s="38"/>
      <c r="N18" s="39"/>
      <c r="O18" s="39"/>
      <c r="P18" s="40" t="s">
        <v>23</v>
      </c>
      <c r="Q18" s="50">
        <v>2.5000000000000001E-2</v>
      </c>
    </row>
    <row r="19" spans="2:18" x14ac:dyDescent="0.25">
      <c r="B19" s="10"/>
      <c r="C19" s="11"/>
      <c r="D19" s="11"/>
      <c r="E19" s="11"/>
      <c r="F19" s="11"/>
      <c r="G19" s="11"/>
      <c r="H19" s="11"/>
      <c r="I19" s="12" t="s">
        <v>14</v>
      </c>
      <c r="J19" s="33">
        <f>J16-(J16*17.8%)</f>
        <v>57818.509606484564</v>
      </c>
      <c r="M19" s="11"/>
      <c r="N19" s="11"/>
      <c r="O19" s="11"/>
      <c r="P19" s="12"/>
      <c r="Q19" s="51"/>
    </row>
    <row r="20" spans="2:18" x14ac:dyDescent="0.25">
      <c r="B20" s="10"/>
      <c r="C20" s="11"/>
      <c r="D20" s="11"/>
      <c r="E20" s="11"/>
      <c r="F20" s="11"/>
      <c r="G20" s="11"/>
      <c r="H20" s="11"/>
      <c r="I20" s="12" t="s">
        <v>30</v>
      </c>
      <c r="J20" s="33">
        <f>J19*P3</f>
        <v>6938.2211527781474</v>
      </c>
      <c r="M20" s="11"/>
      <c r="N20" s="11"/>
      <c r="O20" s="11"/>
      <c r="P20" s="12"/>
      <c r="Q20" s="51"/>
    </row>
    <row r="21" spans="2:18" x14ac:dyDescent="0.25">
      <c r="B21" s="10"/>
      <c r="C21" s="11"/>
      <c r="D21" s="11"/>
      <c r="E21" s="11"/>
      <c r="F21" s="11"/>
      <c r="G21" s="11"/>
      <c r="H21" s="11"/>
      <c r="I21" s="12" t="s">
        <v>31</v>
      </c>
      <c r="J21" s="33">
        <f>J19*P4</f>
        <v>13298.25720949145</v>
      </c>
      <c r="M21" s="11"/>
      <c r="N21" s="11"/>
      <c r="O21" s="11"/>
      <c r="P21" s="12"/>
      <c r="Q21" s="51"/>
    </row>
    <row r="22" spans="2:18" ht="18" thickBot="1" x14ac:dyDescent="0.3">
      <c r="B22" s="38"/>
      <c r="C22" s="39"/>
      <c r="D22" s="39"/>
      <c r="E22" s="39"/>
      <c r="F22" s="39"/>
      <c r="G22" s="39"/>
      <c r="H22" s="39"/>
      <c r="I22" s="40" t="s">
        <v>15</v>
      </c>
      <c r="J22" s="41">
        <f>J19/300</f>
        <v>192.72836535494855</v>
      </c>
      <c r="M22" s="11"/>
      <c r="N22" s="11"/>
      <c r="O22" s="11"/>
      <c r="P22" s="12"/>
      <c r="Q22" s="51"/>
    </row>
    <row r="23" spans="2:18" x14ac:dyDescent="0.25">
      <c r="M23" s="11"/>
      <c r="N23" s="11"/>
      <c r="O23" s="11"/>
      <c r="P23" s="12"/>
      <c r="Q23" s="51"/>
    </row>
    <row r="24" spans="2:18" ht="15.75" thickBot="1" x14ac:dyDescent="0.3">
      <c r="M24" s="11"/>
      <c r="N24" s="11"/>
      <c r="O24" s="11"/>
      <c r="P24" s="12"/>
      <c r="Q24" s="51"/>
    </row>
    <row r="25" spans="2:18" x14ac:dyDescent="0.25">
      <c r="C25" s="52" t="s">
        <v>54</v>
      </c>
      <c r="D25" s="53"/>
      <c r="E25" s="53"/>
      <c r="F25" s="53"/>
      <c r="G25" s="53"/>
      <c r="H25" s="53"/>
      <c r="I25" s="53"/>
      <c r="J25" s="54"/>
      <c r="M25" s="11"/>
      <c r="N25" s="11"/>
      <c r="O25" s="11"/>
      <c r="P25" s="12"/>
      <c r="Q25" s="51"/>
    </row>
    <row r="26" spans="2:18" x14ac:dyDescent="0.25">
      <c r="C26" s="55" t="s">
        <v>58</v>
      </c>
      <c r="D26" s="56"/>
      <c r="E26" s="56"/>
      <c r="F26" s="56"/>
      <c r="G26" s="56"/>
      <c r="H26" s="56"/>
      <c r="I26" s="56"/>
      <c r="J26" s="57"/>
      <c r="M26" s="11"/>
      <c r="N26" s="11"/>
      <c r="O26" s="11"/>
      <c r="P26" s="12"/>
      <c r="Q26" s="51"/>
    </row>
    <row r="27" spans="2:18" ht="15.75" thickBot="1" x14ac:dyDescent="0.3">
      <c r="C27" s="55" t="s">
        <v>59</v>
      </c>
      <c r="D27" s="56"/>
      <c r="E27" s="56"/>
      <c r="F27" s="56"/>
      <c r="G27" s="56"/>
      <c r="H27" s="56"/>
      <c r="I27" s="56"/>
      <c r="J27" s="58" t="s">
        <v>57</v>
      </c>
      <c r="M27" s="11"/>
      <c r="N27" s="11"/>
      <c r="O27" s="11"/>
      <c r="P27" s="12"/>
      <c r="Q27" s="51"/>
    </row>
    <row r="28" spans="2:18" x14ac:dyDescent="0.25">
      <c r="C28" s="55" t="s">
        <v>60</v>
      </c>
      <c r="D28" s="56"/>
      <c r="E28" s="56"/>
      <c r="F28" s="56"/>
      <c r="G28" s="56"/>
      <c r="H28" s="56"/>
      <c r="I28" s="56"/>
      <c r="J28" s="59"/>
      <c r="M28" s="11"/>
      <c r="N28" s="11"/>
      <c r="O28" s="11"/>
      <c r="P28" s="12"/>
      <c r="Q28" s="51"/>
    </row>
    <row r="29" spans="2:18" ht="15" customHeight="1" x14ac:dyDescent="0.25">
      <c r="C29" s="60" t="s">
        <v>61</v>
      </c>
      <c r="D29" s="61"/>
      <c r="E29" s="61"/>
      <c r="F29" s="61"/>
      <c r="G29" s="61"/>
      <c r="H29" s="61"/>
      <c r="I29" s="61"/>
      <c r="J29" s="62" t="s">
        <v>57</v>
      </c>
      <c r="M29" s="11"/>
      <c r="N29" s="11"/>
      <c r="O29" s="11"/>
      <c r="P29" s="12"/>
      <c r="Q29" s="51"/>
    </row>
    <row r="30" spans="2:18" ht="15.75" thickBot="1" x14ac:dyDescent="0.3">
      <c r="C30" s="63"/>
      <c r="D30" s="64"/>
      <c r="E30" s="64"/>
      <c r="F30" s="64"/>
      <c r="G30" s="64"/>
      <c r="H30" s="64"/>
      <c r="I30" s="64"/>
      <c r="J30" s="65"/>
      <c r="M30" s="11"/>
      <c r="N30" s="11"/>
      <c r="O30" s="11"/>
      <c r="P30" s="12"/>
      <c r="Q30" s="51"/>
    </row>
    <row r="31" spans="2:18" x14ac:dyDescent="0.25">
      <c r="L31" s="66"/>
      <c r="M31" s="66"/>
      <c r="N31" s="66"/>
      <c r="O31" s="66"/>
      <c r="P31" s="67"/>
      <c r="Q31" s="68"/>
      <c r="R31" s="66"/>
    </row>
    <row r="32" spans="2:18" x14ac:dyDescent="0.25">
      <c r="L32" s="66"/>
      <c r="M32" s="66"/>
      <c r="N32" s="66"/>
      <c r="O32" s="66"/>
      <c r="P32" s="66"/>
      <c r="Q32" s="66"/>
      <c r="R32" s="66"/>
    </row>
    <row r="33" spans="2:20" x14ac:dyDescent="0.25">
      <c r="B33" s="69" t="s">
        <v>32</v>
      </c>
      <c r="C33" s="69"/>
      <c r="D33" s="69"/>
      <c r="E33" s="69"/>
      <c r="F33" s="69"/>
      <c r="G33" s="69"/>
      <c r="H33" s="69"/>
      <c r="I33" s="69"/>
      <c r="J33" s="70"/>
      <c r="K33" s="70"/>
      <c r="L33" s="70"/>
      <c r="M33" s="69" t="s">
        <v>38</v>
      </c>
      <c r="N33" s="69"/>
      <c r="O33" s="69"/>
      <c r="P33" s="69"/>
      <c r="Q33" s="69"/>
      <c r="R33" s="69"/>
      <c r="S33" s="69"/>
      <c r="T33" s="69"/>
    </row>
    <row r="34" spans="2:20" ht="51" x14ac:dyDescent="0.25">
      <c r="B34" s="71" t="s">
        <v>1</v>
      </c>
      <c r="C34" s="72" t="s">
        <v>2</v>
      </c>
      <c r="D34" s="71" t="s">
        <v>0</v>
      </c>
      <c r="E34" s="72" t="s">
        <v>33</v>
      </c>
      <c r="F34" s="71" t="s">
        <v>3</v>
      </c>
      <c r="G34" s="72" t="s">
        <v>4</v>
      </c>
      <c r="H34" s="72" t="s">
        <v>5</v>
      </c>
      <c r="I34" s="72" t="s">
        <v>34</v>
      </c>
      <c r="M34" s="71" t="s">
        <v>1</v>
      </c>
      <c r="N34" s="72" t="s">
        <v>2</v>
      </c>
      <c r="O34" s="71" t="s">
        <v>0</v>
      </c>
      <c r="P34" s="72" t="s">
        <v>33</v>
      </c>
      <c r="Q34" s="71" t="s">
        <v>3</v>
      </c>
      <c r="R34" s="72" t="s">
        <v>4</v>
      </c>
      <c r="S34" s="72" t="s">
        <v>5</v>
      </c>
      <c r="T34" s="72" t="s">
        <v>34</v>
      </c>
    </row>
    <row r="35" spans="2:20" x14ac:dyDescent="0.25">
      <c r="B35" s="73">
        <v>0</v>
      </c>
      <c r="C35" s="74">
        <f>Q12</f>
        <v>126000</v>
      </c>
      <c r="D35" s="75"/>
      <c r="E35" s="76"/>
      <c r="F35" s="77">
        <f t="shared" ref="F35:F55" si="0">-C35+E35</f>
        <v>-126000</v>
      </c>
      <c r="G35" s="78">
        <f>+F35</f>
        <v>-126000</v>
      </c>
      <c r="H35" s="79">
        <f>+C35</f>
        <v>126000</v>
      </c>
      <c r="I35" s="80"/>
      <c r="M35" s="73">
        <v>0</v>
      </c>
      <c r="N35" s="74">
        <f>Q12</f>
        <v>126000</v>
      </c>
      <c r="O35" s="75"/>
      <c r="P35" s="76"/>
      <c r="Q35" s="77">
        <f t="shared" ref="Q35:Q55" si="1">-N35+P35</f>
        <v>-126000</v>
      </c>
      <c r="R35" s="78">
        <f>+Q35</f>
        <v>-126000</v>
      </c>
      <c r="S35" s="79">
        <f>+N35</f>
        <v>126000</v>
      </c>
      <c r="T35" s="80"/>
    </row>
    <row r="36" spans="2:20" x14ac:dyDescent="0.25">
      <c r="B36" s="73">
        <f>+B35+1</f>
        <v>1</v>
      </c>
      <c r="C36" s="77">
        <f>Q15</f>
        <v>1260</v>
      </c>
      <c r="D36" s="81">
        <f>P4</f>
        <v>0.23</v>
      </c>
      <c r="E36" s="77">
        <f>J21</f>
        <v>13298.25720949145</v>
      </c>
      <c r="F36" s="77">
        <f t="shared" si="0"/>
        <v>12038.25720949145</v>
      </c>
      <c r="G36" s="78">
        <f t="shared" ref="G36:G55" si="2">+F36+G35</f>
        <v>-113961.74279050855</v>
      </c>
      <c r="H36" s="79">
        <f t="shared" ref="H36:H55" si="3">+C36/(1)^B36+H35</f>
        <v>127260</v>
      </c>
      <c r="I36" s="79">
        <f>+(E36)/(1)^B36</f>
        <v>13298.25720949145</v>
      </c>
      <c r="M36" s="73">
        <f>+M35+1</f>
        <v>1</v>
      </c>
      <c r="N36" s="77">
        <f>Q15</f>
        <v>1260</v>
      </c>
      <c r="O36" s="81">
        <f>P3</f>
        <v>0.12</v>
      </c>
      <c r="P36" s="77">
        <f>J20</f>
        <v>6938.2211527781474</v>
      </c>
      <c r="Q36" s="77">
        <f t="shared" si="1"/>
        <v>5678.2211527781474</v>
      </c>
      <c r="R36" s="78">
        <f t="shared" ref="R36:R55" si="4">+Q36+R35</f>
        <v>-120321.77884722185</v>
      </c>
      <c r="S36" s="79">
        <f t="shared" ref="S36:S55" si="5">+N36/(1)^M36+S35</f>
        <v>127260</v>
      </c>
      <c r="T36" s="79">
        <f>+(P36)/(1)^M36</f>
        <v>6938.2211527781474</v>
      </c>
    </row>
    <row r="37" spans="2:20" x14ac:dyDescent="0.25">
      <c r="B37" s="73">
        <f>+B36+1</f>
        <v>2</v>
      </c>
      <c r="C37" s="77">
        <f>C36+(C36*$Q$18)</f>
        <v>1291.5</v>
      </c>
      <c r="D37" s="81">
        <f>D36+(D36*$Q$18)</f>
        <v>0.23575000000000002</v>
      </c>
      <c r="E37" s="77">
        <f t="shared" ref="E37:E55" si="6">$J$19*D37</f>
        <v>13630.713639728738</v>
      </c>
      <c r="F37" s="77">
        <f t="shared" si="0"/>
        <v>12339.213639728738</v>
      </c>
      <c r="G37" s="78">
        <f t="shared" si="2"/>
        <v>-101622.52915077981</v>
      </c>
      <c r="H37" s="79">
        <f t="shared" si="3"/>
        <v>128551.5</v>
      </c>
      <c r="I37" s="79">
        <f t="shared" ref="I37:I55" si="7">+(E37)/(1)^B37+I36</f>
        <v>26928.97084922019</v>
      </c>
      <c r="M37" s="73">
        <f>+M36+1</f>
        <v>2</v>
      </c>
      <c r="N37" s="77">
        <f>N36+(N36*$Q$18)</f>
        <v>1291.5</v>
      </c>
      <c r="O37" s="81">
        <f>O36+(O36*$Q$18)</f>
        <v>0.123</v>
      </c>
      <c r="P37" s="77">
        <f t="shared" ref="P37:P55" si="8">$J$19*O37</f>
        <v>7111.6766815976016</v>
      </c>
      <c r="Q37" s="77">
        <f t="shared" si="1"/>
        <v>5820.1766815976016</v>
      </c>
      <c r="R37" s="78">
        <f t="shared" si="4"/>
        <v>-114501.60216562425</v>
      </c>
      <c r="S37" s="79">
        <f t="shared" si="5"/>
        <v>128551.5</v>
      </c>
      <c r="T37" s="79">
        <f t="shared" ref="T37:T55" si="9">+(P37)/(1)^M37+T36</f>
        <v>14049.897834375748</v>
      </c>
    </row>
    <row r="38" spans="2:20" x14ac:dyDescent="0.25">
      <c r="B38" s="73">
        <f t="shared" ref="B38:B54" si="10">+B37+1</f>
        <v>3</v>
      </c>
      <c r="C38" s="77">
        <f t="shared" ref="C38:C55" si="11">C37+(C37*$Q$18)</f>
        <v>1323.7874999999999</v>
      </c>
      <c r="D38" s="81">
        <f t="shared" ref="D38:D55" si="12">D37+(D37*$Q$18)</f>
        <v>0.24164375000000002</v>
      </c>
      <c r="E38" s="77">
        <f t="shared" si="6"/>
        <v>13971.481480721955</v>
      </c>
      <c r="F38" s="77">
        <f t="shared" si="0"/>
        <v>12647.693980721955</v>
      </c>
      <c r="G38" s="78">
        <f t="shared" si="2"/>
        <v>-88974.83517005785</v>
      </c>
      <c r="H38" s="79">
        <f t="shared" si="3"/>
        <v>129875.28750000001</v>
      </c>
      <c r="I38" s="79">
        <f t="shared" si="7"/>
        <v>40900.452329942142</v>
      </c>
      <c r="M38" s="73">
        <f t="shared" ref="M38:M54" si="13">+M37+1</f>
        <v>3</v>
      </c>
      <c r="N38" s="77">
        <f t="shared" ref="N38:N55" si="14">N37+(N37*$Q$18)</f>
        <v>1323.7874999999999</v>
      </c>
      <c r="O38" s="81">
        <f t="shared" ref="O38:O55" si="15">O37+(O37*$Q$18)</f>
        <v>0.12607499999999999</v>
      </c>
      <c r="P38" s="77">
        <f t="shared" si="8"/>
        <v>7289.4685986375407</v>
      </c>
      <c r="Q38" s="77">
        <f t="shared" si="1"/>
        <v>5965.6810986375403</v>
      </c>
      <c r="R38" s="78">
        <f t="shared" si="4"/>
        <v>-108535.92106698672</v>
      </c>
      <c r="S38" s="79">
        <f t="shared" si="5"/>
        <v>129875.28750000001</v>
      </c>
      <c r="T38" s="79">
        <f t="shared" si="9"/>
        <v>21339.366433013289</v>
      </c>
    </row>
    <row r="39" spans="2:20" x14ac:dyDescent="0.25">
      <c r="B39" s="73">
        <f t="shared" si="10"/>
        <v>4</v>
      </c>
      <c r="C39" s="77">
        <f t="shared" si="11"/>
        <v>1356.8821874999999</v>
      </c>
      <c r="D39" s="81">
        <f t="shared" si="12"/>
        <v>0.24768484375000002</v>
      </c>
      <c r="E39" s="77">
        <f t="shared" si="6"/>
        <v>14320.768517740005</v>
      </c>
      <c r="F39" s="77">
        <f t="shared" si="0"/>
        <v>12963.886330240006</v>
      </c>
      <c r="G39" s="78">
        <f t="shared" si="2"/>
        <v>-76010.948839817836</v>
      </c>
      <c r="H39" s="79">
        <f t="shared" si="3"/>
        <v>131232.16968750002</v>
      </c>
      <c r="I39" s="79">
        <f t="shared" si="7"/>
        <v>55221.220847682147</v>
      </c>
      <c r="M39" s="73">
        <f t="shared" si="13"/>
        <v>4</v>
      </c>
      <c r="N39" s="77">
        <f t="shared" si="14"/>
        <v>1356.8821874999999</v>
      </c>
      <c r="O39" s="81">
        <f t="shared" si="15"/>
        <v>0.12922687499999999</v>
      </c>
      <c r="P39" s="77">
        <f t="shared" si="8"/>
        <v>7471.7053136034792</v>
      </c>
      <c r="Q39" s="77">
        <f t="shared" si="1"/>
        <v>6114.8231261034798</v>
      </c>
      <c r="R39" s="78">
        <f t="shared" si="4"/>
        <v>-102421.09794088324</v>
      </c>
      <c r="S39" s="79">
        <f t="shared" si="5"/>
        <v>131232.16968750002</v>
      </c>
      <c r="T39" s="79">
        <f t="shared" si="9"/>
        <v>28811.07174661677</v>
      </c>
    </row>
    <row r="40" spans="2:20" x14ac:dyDescent="0.25">
      <c r="B40" s="73">
        <f t="shared" si="10"/>
        <v>5</v>
      </c>
      <c r="C40" s="77">
        <f t="shared" si="11"/>
        <v>1390.8042421874998</v>
      </c>
      <c r="D40" s="81">
        <f t="shared" si="12"/>
        <v>0.25387696484375</v>
      </c>
      <c r="E40" s="77">
        <f t="shared" si="6"/>
        <v>14678.787730683503</v>
      </c>
      <c r="F40" s="77">
        <f t="shared" si="0"/>
        <v>13287.983488496004</v>
      </c>
      <c r="G40" s="78">
        <f t="shared" si="2"/>
        <v>-62722.965351321836</v>
      </c>
      <c r="H40" s="79">
        <f t="shared" si="3"/>
        <v>132622.97392968752</v>
      </c>
      <c r="I40" s="79">
        <f t="shared" si="7"/>
        <v>69900.008578365654</v>
      </c>
      <c r="M40" s="73">
        <f t="shared" si="13"/>
        <v>5</v>
      </c>
      <c r="N40" s="77">
        <f t="shared" si="14"/>
        <v>1390.8042421874998</v>
      </c>
      <c r="O40" s="81">
        <f t="shared" si="15"/>
        <v>0.132457546875</v>
      </c>
      <c r="P40" s="77">
        <f t="shared" si="8"/>
        <v>7658.4979464435664</v>
      </c>
      <c r="Q40" s="77">
        <f t="shared" si="1"/>
        <v>6267.6937042560667</v>
      </c>
      <c r="R40" s="78">
        <f t="shared" si="4"/>
        <v>-96153.404236627175</v>
      </c>
      <c r="S40" s="79">
        <f t="shared" si="5"/>
        <v>132622.97392968752</v>
      </c>
      <c r="T40" s="79">
        <f t="shared" si="9"/>
        <v>36469.569693060337</v>
      </c>
    </row>
    <row r="41" spans="2:20" x14ac:dyDescent="0.25">
      <c r="B41" s="73">
        <f t="shared" si="10"/>
        <v>6</v>
      </c>
      <c r="C41" s="77">
        <f t="shared" si="11"/>
        <v>1425.5743482421872</v>
      </c>
      <c r="D41" s="81">
        <f t="shared" si="12"/>
        <v>0.26022388896484372</v>
      </c>
      <c r="E41" s="77">
        <f t="shared" si="6"/>
        <v>15045.757423950588</v>
      </c>
      <c r="F41" s="77">
        <f t="shared" si="0"/>
        <v>13620.183075708401</v>
      </c>
      <c r="G41" s="78">
        <f t="shared" si="2"/>
        <v>-49102.782275613434</v>
      </c>
      <c r="H41" s="79">
        <f t="shared" si="3"/>
        <v>134048.54827792972</v>
      </c>
      <c r="I41" s="79">
        <f t="shared" si="7"/>
        <v>84945.766002316246</v>
      </c>
      <c r="M41" s="73">
        <f t="shared" si="13"/>
        <v>6</v>
      </c>
      <c r="N41" s="77">
        <f t="shared" si="14"/>
        <v>1425.5743482421872</v>
      </c>
      <c r="O41" s="81">
        <f t="shared" si="15"/>
        <v>0.135768985546875</v>
      </c>
      <c r="P41" s="77">
        <f t="shared" si="8"/>
        <v>7849.9603951046556</v>
      </c>
      <c r="Q41" s="77">
        <f t="shared" si="1"/>
        <v>6424.386046862468</v>
      </c>
      <c r="R41" s="78">
        <f t="shared" si="4"/>
        <v>-89729.018189764713</v>
      </c>
      <c r="S41" s="79">
        <f t="shared" si="5"/>
        <v>134048.54827792972</v>
      </c>
      <c r="T41" s="79">
        <f t="shared" si="9"/>
        <v>44319.530088164989</v>
      </c>
    </row>
    <row r="42" spans="2:20" x14ac:dyDescent="0.25">
      <c r="B42" s="73">
        <f t="shared" si="10"/>
        <v>7</v>
      </c>
      <c r="C42" s="77">
        <f t="shared" si="11"/>
        <v>1461.2137069482419</v>
      </c>
      <c r="D42" s="81">
        <f t="shared" si="12"/>
        <v>0.2667294861889648</v>
      </c>
      <c r="E42" s="77">
        <f t="shared" si="6"/>
        <v>15421.901359549352</v>
      </c>
      <c r="F42" s="77">
        <f t="shared" si="0"/>
        <v>13960.687652601111</v>
      </c>
      <c r="G42" s="78">
        <f t="shared" si="2"/>
        <v>-35142.094623012323</v>
      </c>
      <c r="H42" s="79">
        <f t="shared" si="3"/>
        <v>135509.76198487796</v>
      </c>
      <c r="I42" s="79">
        <f t="shared" si="7"/>
        <v>100367.66736186561</v>
      </c>
      <c r="M42" s="73">
        <f t="shared" si="13"/>
        <v>7</v>
      </c>
      <c r="N42" s="77">
        <f t="shared" si="14"/>
        <v>1461.2137069482419</v>
      </c>
      <c r="O42" s="81">
        <f t="shared" si="15"/>
        <v>0.13916321018554687</v>
      </c>
      <c r="P42" s="77">
        <f t="shared" si="8"/>
        <v>8046.2094049822717</v>
      </c>
      <c r="Q42" s="77">
        <f t="shared" si="1"/>
        <v>6584.9956980340303</v>
      </c>
      <c r="R42" s="78">
        <f t="shared" si="4"/>
        <v>-83144.022491730677</v>
      </c>
      <c r="S42" s="79">
        <f t="shared" si="5"/>
        <v>135509.76198487796</v>
      </c>
      <c r="T42" s="79">
        <f t="shared" si="9"/>
        <v>52365.739493147259</v>
      </c>
    </row>
    <row r="43" spans="2:20" x14ac:dyDescent="0.25">
      <c r="B43" s="73">
        <f t="shared" si="10"/>
        <v>8</v>
      </c>
      <c r="C43" s="77">
        <f t="shared" si="11"/>
        <v>1497.7440496219479</v>
      </c>
      <c r="D43" s="81">
        <f t="shared" si="12"/>
        <v>0.27339772334368895</v>
      </c>
      <c r="E43" s="77">
        <f t="shared" si="6"/>
        <v>15807.448893538089</v>
      </c>
      <c r="F43" s="77">
        <f t="shared" si="0"/>
        <v>14309.704843916141</v>
      </c>
      <c r="G43" s="78">
        <f t="shared" si="2"/>
        <v>-20832.389779096182</v>
      </c>
      <c r="H43" s="79">
        <f t="shared" si="3"/>
        <v>137007.50603449991</v>
      </c>
      <c r="I43" s="79">
        <f t="shared" si="7"/>
        <v>116175.1162554037</v>
      </c>
      <c r="M43" s="73">
        <f t="shared" si="13"/>
        <v>8</v>
      </c>
      <c r="N43" s="77">
        <f t="shared" si="14"/>
        <v>1497.7440496219479</v>
      </c>
      <c r="O43" s="81">
        <f t="shared" si="15"/>
        <v>0.14264229044018553</v>
      </c>
      <c r="P43" s="77">
        <f t="shared" si="8"/>
        <v>8247.364640106829</v>
      </c>
      <c r="Q43" s="77">
        <f t="shared" si="1"/>
        <v>6749.6205904848812</v>
      </c>
      <c r="R43" s="78">
        <f t="shared" si="4"/>
        <v>-76394.401901245801</v>
      </c>
      <c r="S43" s="79">
        <f t="shared" si="5"/>
        <v>137007.50603449991</v>
      </c>
      <c r="T43" s="79">
        <f t="shared" si="9"/>
        <v>60613.104133254092</v>
      </c>
    </row>
    <row r="44" spans="2:20" x14ac:dyDescent="0.25">
      <c r="B44" s="82">
        <f t="shared" si="10"/>
        <v>9</v>
      </c>
      <c r="C44" s="83">
        <f t="shared" si="11"/>
        <v>1535.1876508624966</v>
      </c>
      <c r="D44" s="84">
        <f t="shared" si="12"/>
        <v>0.28023266642728117</v>
      </c>
      <c r="E44" s="83">
        <f t="shared" si="6"/>
        <v>16202.635115876541</v>
      </c>
      <c r="F44" s="83">
        <f t="shared" si="0"/>
        <v>14667.447465014044</v>
      </c>
      <c r="G44" s="83">
        <f t="shared" si="2"/>
        <v>-6164.9423140821382</v>
      </c>
      <c r="H44" s="85">
        <f t="shared" si="3"/>
        <v>138542.69368536241</v>
      </c>
      <c r="I44" s="85">
        <f t="shared" si="7"/>
        <v>132377.75137128023</v>
      </c>
      <c r="M44" s="86">
        <f t="shared" si="13"/>
        <v>9</v>
      </c>
      <c r="N44" s="87">
        <f t="shared" si="14"/>
        <v>1535.1876508624966</v>
      </c>
      <c r="O44" s="88">
        <f t="shared" si="15"/>
        <v>0.14620834770119018</v>
      </c>
      <c r="P44" s="87">
        <f t="shared" si="8"/>
        <v>8453.5487561094997</v>
      </c>
      <c r="Q44" s="87">
        <f t="shared" si="1"/>
        <v>6918.3611052470033</v>
      </c>
      <c r="R44" s="78">
        <f t="shared" si="4"/>
        <v>-69476.040795998793</v>
      </c>
      <c r="S44" s="89">
        <f t="shared" si="5"/>
        <v>138542.69368536241</v>
      </c>
      <c r="T44" s="89">
        <f t="shared" si="9"/>
        <v>69066.652889363584</v>
      </c>
    </row>
    <row r="45" spans="2:20" x14ac:dyDescent="0.25">
      <c r="B45" s="82">
        <f t="shared" si="10"/>
        <v>10</v>
      </c>
      <c r="C45" s="83">
        <f t="shared" si="11"/>
        <v>1573.5673421340591</v>
      </c>
      <c r="D45" s="84">
        <f t="shared" si="12"/>
        <v>0.28723848308796318</v>
      </c>
      <c r="E45" s="83">
        <f t="shared" si="6"/>
        <v>16607.700993773455</v>
      </c>
      <c r="F45" s="83">
        <f t="shared" si="0"/>
        <v>15034.133651639395</v>
      </c>
      <c r="G45" s="83">
        <f t="shared" si="2"/>
        <v>8869.1913375572567</v>
      </c>
      <c r="H45" s="85">
        <f t="shared" si="3"/>
        <v>140116.26102749645</v>
      </c>
      <c r="I45" s="85">
        <f t="shared" si="7"/>
        <v>148985.4523650537</v>
      </c>
      <c r="M45" s="86">
        <f t="shared" si="13"/>
        <v>10</v>
      </c>
      <c r="N45" s="87">
        <f t="shared" si="14"/>
        <v>1573.5673421340591</v>
      </c>
      <c r="O45" s="88">
        <f t="shared" si="15"/>
        <v>0.14986355639371993</v>
      </c>
      <c r="P45" s="87">
        <f t="shared" si="8"/>
        <v>8664.8874750122359</v>
      </c>
      <c r="Q45" s="87">
        <f t="shared" si="1"/>
        <v>7091.320132878177</v>
      </c>
      <c r="R45" s="78">
        <f t="shared" si="4"/>
        <v>-62384.720663120614</v>
      </c>
      <c r="S45" s="89">
        <f t="shared" si="5"/>
        <v>140116.26102749645</v>
      </c>
      <c r="T45" s="89">
        <f t="shared" si="9"/>
        <v>77731.540364375818</v>
      </c>
    </row>
    <row r="46" spans="2:20" x14ac:dyDescent="0.25">
      <c r="B46" s="73">
        <f t="shared" si="10"/>
        <v>11</v>
      </c>
      <c r="C46" s="77">
        <f t="shared" si="11"/>
        <v>1612.9065256874105</v>
      </c>
      <c r="D46" s="81">
        <f t="shared" si="12"/>
        <v>0.29441944516516227</v>
      </c>
      <c r="E46" s="77">
        <f t="shared" si="6"/>
        <v>17022.893518617791</v>
      </c>
      <c r="F46" s="77">
        <f t="shared" si="0"/>
        <v>15409.98699293038</v>
      </c>
      <c r="G46" s="90">
        <f t="shared" si="2"/>
        <v>24279.178330487637</v>
      </c>
      <c r="H46" s="79">
        <f t="shared" si="3"/>
        <v>141729.16755318386</v>
      </c>
      <c r="I46" s="79">
        <f t="shared" si="7"/>
        <v>166008.34588367149</v>
      </c>
      <c r="M46" s="73">
        <f t="shared" si="13"/>
        <v>11</v>
      </c>
      <c r="N46" s="77">
        <f t="shared" si="14"/>
        <v>1612.9065256874105</v>
      </c>
      <c r="O46" s="81">
        <f t="shared" si="15"/>
        <v>0.15361014530356293</v>
      </c>
      <c r="P46" s="77">
        <f t="shared" si="8"/>
        <v>8881.5096618875432</v>
      </c>
      <c r="Q46" s="77">
        <f t="shared" si="1"/>
        <v>7268.6031362001322</v>
      </c>
      <c r="R46" s="78">
        <f t="shared" si="4"/>
        <v>-55116.117526920483</v>
      </c>
      <c r="S46" s="79">
        <f t="shared" si="5"/>
        <v>141729.16755318386</v>
      </c>
      <c r="T46" s="79">
        <f t="shared" si="9"/>
        <v>86613.050026263358</v>
      </c>
    </row>
    <row r="47" spans="2:20" x14ac:dyDescent="0.25">
      <c r="B47" s="73">
        <f t="shared" si="10"/>
        <v>12</v>
      </c>
      <c r="C47" s="77">
        <f t="shared" si="11"/>
        <v>1653.2291888295958</v>
      </c>
      <c r="D47" s="81">
        <f t="shared" si="12"/>
        <v>0.30177993129429131</v>
      </c>
      <c r="E47" s="77">
        <f t="shared" si="6"/>
        <v>17448.465856583232</v>
      </c>
      <c r="F47" s="77">
        <f t="shared" si="0"/>
        <v>15795.236667753637</v>
      </c>
      <c r="G47" s="90">
        <f t="shared" si="2"/>
        <v>40074.414998241278</v>
      </c>
      <c r="H47" s="79">
        <f t="shared" si="3"/>
        <v>143382.39674201346</v>
      </c>
      <c r="I47" s="79">
        <f t="shared" si="7"/>
        <v>183456.81174025472</v>
      </c>
      <c r="M47" s="73">
        <f t="shared" si="13"/>
        <v>12</v>
      </c>
      <c r="N47" s="77">
        <f t="shared" si="14"/>
        <v>1653.2291888295958</v>
      </c>
      <c r="O47" s="81">
        <f t="shared" si="15"/>
        <v>0.15745039893615201</v>
      </c>
      <c r="P47" s="77">
        <f t="shared" si="8"/>
        <v>9103.5474034347317</v>
      </c>
      <c r="Q47" s="77">
        <f t="shared" si="1"/>
        <v>7450.3182146051358</v>
      </c>
      <c r="R47" s="78">
        <f t="shared" si="4"/>
        <v>-47665.79931231535</v>
      </c>
      <c r="S47" s="79">
        <f t="shared" si="5"/>
        <v>143382.39674201346</v>
      </c>
      <c r="T47" s="79">
        <f t="shared" si="9"/>
        <v>95716.597429698086</v>
      </c>
    </row>
    <row r="48" spans="2:20" x14ac:dyDescent="0.25">
      <c r="B48" s="73">
        <f t="shared" si="10"/>
        <v>13</v>
      </c>
      <c r="C48" s="77">
        <f t="shared" si="11"/>
        <v>1694.5599185503356</v>
      </c>
      <c r="D48" s="81">
        <f t="shared" si="12"/>
        <v>0.30932442957664857</v>
      </c>
      <c r="E48" s="77">
        <f t="shared" si="6"/>
        <v>17884.677502997813</v>
      </c>
      <c r="F48" s="77">
        <f t="shared" si="0"/>
        <v>16190.117584447476</v>
      </c>
      <c r="G48" s="90">
        <f t="shared" si="2"/>
        <v>56264.532582688757</v>
      </c>
      <c r="H48" s="79">
        <f t="shared" si="3"/>
        <v>145076.9566605638</v>
      </c>
      <c r="I48" s="79">
        <f t="shared" si="7"/>
        <v>201341.48924325252</v>
      </c>
      <c r="M48" s="73">
        <f t="shared" si="13"/>
        <v>13</v>
      </c>
      <c r="N48" s="77">
        <f t="shared" si="14"/>
        <v>1694.5599185503356</v>
      </c>
      <c r="O48" s="81">
        <f t="shared" si="15"/>
        <v>0.16138665890955581</v>
      </c>
      <c r="P48" s="77">
        <f t="shared" si="8"/>
        <v>9331.1360885205995</v>
      </c>
      <c r="Q48" s="77">
        <f t="shared" si="1"/>
        <v>7636.5761699702634</v>
      </c>
      <c r="R48" s="78">
        <f t="shared" si="4"/>
        <v>-40029.223142345087</v>
      </c>
      <c r="S48" s="79">
        <f t="shared" si="5"/>
        <v>145076.9566605638</v>
      </c>
      <c r="T48" s="79">
        <f t="shared" si="9"/>
        <v>105047.73351821868</v>
      </c>
    </row>
    <row r="49" spans="2:22" x14ac:dyDescent="0.25">
      <c r="B49" s="73">
        <f t="shared" si="10"/>
        <v>14</v>
      </c>
      <c r="C49" s="77">
        <f t="shared" si="11"/>
        <v>1736.9239165140941</v>
      </c>
      <c r="D49" s="81">
        <f t="shared" si="12"/>
        <v>0.31705754031606481</v>
      </c>
      <c r="E49" s="77">
        <f t="shared" si="6"/>
        <v>18331.794440572761</v>
      </c>
      <c r="F49" s="77">
        <f t="shared" si="0"/>
        <v>16594.870524058668</v>
      </c>
      <c r="G49" s="90">
        <f t="shared" si="2"/>
        <v>72859.403106747428</v>
      </c>
      <c r="H49" s="79">
        <f t="shared" si="3"/>
        <v>146813.88057707789</v>
      </c>
      <c r="I49" s="79">
        <f t="shared" si="7"/>
        <v>219673.28368382528</v>
      </c>
      <c r="M49" s="73">
        <f t="shared" si="13"/>
        <v>14</v>
      </c>
      <c r="N49" s="77">
        <f t="shared" si="14"/>
        <v>1736.9239165140941</v>
      </c>
      <c r="O49" s="81">
        <f t="shared" si="15"/>
        <v>0.1654213253822947</v>
      </c>
      <c r="P49" s="77">
        <f t="shared" si="8"/>
        <v>9564.4144907336158</v>
      </c>
      <c r="Q49" s="77">
        <f t="shared" si="1"/>
        <v>7827.4905742195215</v>
      </c>
      <c r="R49" s="78">
        <f t="shared" si="4"/>
        <v>-32201.732568125564</v>
      </c>
      <c r="S49" s="79">
        <f t="shared" si="5"/>
        <v>146813.88057707789</v>
      </c>
      <c r="T49" s="79">
        <f t="shared" si="9"/>
        <v>114612.1480089523</v>
      </c>
    </row>
    <row r="50" spans="2:22" x14ac:dyDescent="0.25">
      <c r="B50" s="73">
        <f t="shared" si="10"/>
        <v>15</v>
      </c>
      <c r="C50" s="77">
        <f t="shared" si="11"/>
        <v>1780.3470144269465</v>
      </c>
      <c r="D50" s="81">
        <f t="shared" si="12"/>
        <v>0.32498397882396646</v>
      </c>
      <c r="E50" s="77">
        <f t="shared" si="6"/>
        <v>18790.089301587082</v>
      </c>
      <c r="F50" s="77">
        <f t="shared" si="0"/>
        <v>17009.742287160137</v>
      </c>
      <c r="G50" s="90">
        <f t="shared" si="2"/>
        <v>89869.145393907558</v>
      </c>
      <c r="H50" s="79">
        <f t="shared" si="3"/>
        <v>148594.22759150484</v>
      </c>
      <c r="I50" s="79">
        <f t="shared" si="7"/>
        <v>238463.37298541237</v>
      </c>
      <c r="M50" s="73">
        <f t="shared" si="13"/>
        <v>15</v>
      </c>
      <c r="N50" s="77">
        <f t="shared" si="14"/>
        <v>1780.3470144269465</v>
      </c>
      <c r="O50" s="81">
        <f t="shared" si="15"/>
        <v>0.16955685851685207</v>
      </c>
      <c r="P50" s="77">
        <f t="shared" si="8"/>
        <v>9803.5248530019544</v>
      </c>
      <c r="Q50" s="77">
        <f t="shared" si="1"/>
        <v>8023.1778385750076</v>
      </c>
      <c r="R50" s="78">
        <f t="shared" si="4"/>
        <v>-24178.554729550557</v>
      </c>
      <c r="S50" s="79">
        <f t="shared" si="5"/>
        <v>148594.22759150484</v>
      </c>
      <c r="T50" s="79">
        <f t="shared" si="9"/>
        <v>124415.67286195426</v>
      </c>
    </row>
    <row r="51" spans="2:22" x14ac:dyDescent="0.25">
      <c r="B51" s="73">
        <f t="shared" si="10"/>
        <v>16</v>
      </c>
      <c r="C51" s="77">
        <f t="shared" si="11"/>
        <v>1824.8556897876201</v>
      </c>
      <c r="D51" s="81">
        <f t="shared" si="12"/>
        <v>0.33310857829456564</v>
      </c>
      <c r="E51" s="77">
        <f t="shared" si="6"/>
        <v>19259.841534126757</v>
      </c>
      <c r="F51" s="77">
        <f t="shared" si="0"/>
        <v>17434.985844339139</v>
      </c>
      <c r="G51" s="90">
        <f t="shared" si="2"/>
        <v>107304.1312382467</v>
      </c>
      <c r="H51" s="79">
        <f t="shared" si="3"/>
        <v>150419.08328129246</v>
      </c>
      <c r="I51" s="79">
        <f t="shared" si="7"/>
        <v>257723.21451953912</v>
      </c>
      <c r="M51" s="73">
        <f t="shared" si="13"/>
        <v>16</v>
      </c>
      <c r="N51" s="77">
        <f t="shared" si="14"/>
        <v>1824.8556897876201</v>
      </c>
      <c r="O51" s="81">
        <f t="shared" si="15"/>
        <v>0.17379577997977336</v>
      </c>
      <c r="P51" s="77">
        <f t="shared" si="8"/>
        <v>10048.612974327003</v>
      </c>
      <c r="Q51" s="77">
        <f t="shared" si="1"/>
        <v>8223.7572845393825</v>
      </c>
      <c r="R51" s="78">
        <f t="shared" si="4"/>
        <v>-15954.797445011174</v>
      </c>
      <c r="S51" s="79">
        <f t="shared" si="5"/>
        <v>150419.08328129246</v>
      </c>
      <c r="T51" s="79">
        <f t="shared" si="9"/>
        <v>134464.28583628125</v>
      </c>
    </row>
    <row r="52" spans="2:22" x14ac:dyDescent="0.25">
      <c r="B52" s="91">
        <f t="shared" si="10"/>
        <v>17</v>
      </c>
      <c r="C52" s="77">
        <f t="shared" si="11"/>
        <v>1870.4770820323106</v>
      </c>
      <c r="D52" s="81">
        <f t="shared" si="12"/>
        <v>0.34143629275192977</v>
      </c>
      <c r="E52" s="77">
        <f t="shared" si="6"/>
        <v>19741.337572479926</v>
      </c>
      <c r="F52" s="77">
        <f t="shared" si="0"/>
        <v>17870.860490447616</v>
      </c>
      <c r="G52" s="90">
        <f t="shared" si="2"/>
        <v>125174.99172869432</v>
      </c>
      <c r="H52" s="79">
        <f t="shared" si="3"/>
        <v>152289.56036332477</v>
      </c>
      <c r="I52" s="79">
        <f t="shared" si="7"/>
        <v>277464.55209201906</v>
      </c>
      <c r="M52" s="82">
        <f t="shared" si="13"/>
        <v>17</v>
      </c>
      <c r="N52" s="83">
        <f t="shared" si="14"/>
        <v>1870.4770820323106</v>
      </c>
      <c r="O52" s="84">
        <f t="shared" si="15"/>
        <v>0.17814067447926768</v>
      </c>
      <c r="P52" s="83">
        <f t="shared" si="8"/>
        <v>10299.828298685177</v>
      </c>
      <c r="Q52" s="83">
        <f t="shared" si="1"/>
        <v>8429.3512166528672</v>
      </c>
      <c r="R52" s="83">
        <f t="shared" si="4"/>
        <v>-7525.4462283583071</v>
      </c>
      <c r="S52" s="85">
        <f t="shared" si="5"/>
        <v>152289.56036332477</v>
      </c>
      <c r="T52" s="85">
        <f t="shared" si="9"/>
        <v>144764.11413496642</v>
      </c>
    </row>
    <row r="53" spans="2:22" x14ac:dyDescent="0.25">
      <c r="B53" s="73">
        <f t="shared" si="10"/>
        <v>18</v>
      </c>
      <c r="C53" s="77">
        <f t="shared" si="11"/>
        <v>1917.2390090831184</v>
      </c>
      <c r="D53" s="81">
        <f t="shared" si="12"/>
        <v>0.34997220007072799</v>
      </c>
      <c r="E53" s="77">
        <f t="shared" si="6"/>
        <v>20234.871011791925</v>
      </c>
      <c r="F53" s="77">
        <f t="shared" si="0"/>
        <v>18317.632002708808</v>
      </c>
      <c r="G53" s="90">
        <f t="shared" si="2"/>
        <v>143492.62373140315</v>
      </c>
      <c r="H53" s="79">
        <f t="shared" si="3"/>
        <v>154206.7993724079</v>
      </c>
      <c r="I53" s="79">
        <f t="shared" si="7"/>
        <v>297699.42310381099</v>
      </c>
      <c r="M53" s="82">
        <f t="shared" si="13"/>
        <v>18</v>
      </c>
      <c r="N53" s="83">
        <f t="shared" si="14"/>
        <v>1917.2390090831184</v>
      </c>
      <c r="O53" s="84">
        <f t="shared" si="15"/>
        <v>0.18259419134124938</v>
      </c>
      <c r="P53" s="83">
        <f t="shared" si="8"/>
        <v>10557.324006152308</v>
      </c>
      <c r="Q53" s="83">
        <f t="shared" si="1"/>
        <v>8640.0849970691906</v>
      </c>
      <c r="R53" s="83">
        <f t="shared" si="4"/>
        <v>1114.6387687108836</v>
      </c>
      <c r="S53" s="85">
        <f t="shared" si="5"/>
        <v>154206.7993724079</v>
      </c>
      <c r="T53" s="85">
        <f t="shared" si="9"/>
        <v>155321.43814111874</v>
      </c>
    </row>
    <row r="54" spans="2:22" x14ac:dyDescent="0.25">
      <c r="B54" s="73">
        <f t="shared" si="10"/>
        <v>19</v>
      </c>
      <c r="C54" s="77">
        <f t="shared" si="11"/>
        <v>1965.1699843101965</v>
      </c>
      <c r="D54" s="81">
        <f t="shared" si="12"/>
        <v>0.35872150507249617</v>
      </c>
      <c r="E54" s="77">
        <f t="shared" si="6"/>
        <v>20740.742787086721</v>
      </c>
      <c r="F54" s="77">
        <f t="shared" si="0"/>
        <v>18775.572802776525</v>
      </c>
      <c r="G54" s="90">
        <f t="shared" si="2"/>
        <v>162268.19653417967</v>
      </c>
      <c r="H54" s="79">
        <f t="shared" si="3"/>
        <v>156171.96935671809</v>
      </c>
      <c r="I54" s="79">
        <f t="shared" si="7"/>
        <v>318440.16589089768</v>
      </c>
      <c r="M54" s="73">
        <f t="shared" si="13"/>
        <v>19</v>
      </c>
      <c r="N54" s="77">
        <f t="shared" si="14"/>
        <v>1965.1699843101965</v>
      </c>
      <c r="O54" s="81">
        <f t="shared" si="15"/>
        <v>0.18715904612478063</v>
      </c>
      <c r="P54" s="77">
        <f t="shared" si="8"/>
        <v>10821.257106306117</v>
      </c>
      <c r="Q54" s="77">
        <f t="shared" si="1"/>
        <v>8856.0871219959208</v>
      </c>
      <c r="R54" s="90">
        <f t="shared" si="4"/>
        <v>9970.7258907068044</v>
      </c>
      <c r="S54" s="79">
        <f t="shared" si="5"/>
        <v>156171.96935671809</v>
      </c>
      <c r="T54" s="79">
        <f t="shared" si="9"/>
        <v>166142.69524742485</v>
      </c>
    </row>
    <row r="55" spans="2:22" x14ac:dyDescent="0.25">
      <c r="B55" s="73">
        <f>+B54+1</f>
        <v>20</v>
      </c>
      <c r="C55" s="77">
        <f t="shared" si="11"/>
        <v>2014.2992339179514</v>
      </c>
      <c r="D55" s="81">
        <f t="shared" si="12"/>
        <v>0.36768954269930859</v>
      </c>
      <c r="E55" s="77">
        <f t="shared" si="6"/>
        <v>21259.261356763891</v>
      </c>
      <c r="F55" s="77">
        <f t="shared" si="0"/>
        <v>19244.96212284594</v>
      </c>
      <c r="G55" s="90">
        <f t="shared" si="2"/>
        <v>181513.1586570256</v>
      </c>
      <c r="H55" s="79">
        <f t="shared" si="3"/>
        <v>158186.26859063606</v>
      </c>
      <c r="I55" s="79">
        <f t="shared" si="7"/>
        <v>339699.42724766157</v>
      </c>
      <c r="M55" s="73">
        <f>+M54+1</f>
        <v>20</v>
      </c>
      <c r="N55" s="77">
        <f t="shared" si="14"/>
        <v>2014.2992339179514</v>
      </c>
      <c r="O55" s="81">
        <f t="shared" si="15"/>
        <v>0.19183802227790014</v>
      </c>
      <c r="P55" s="77">
        <f t="shared" si="8"/>
        <v>11091.788533963769</v>
      </c>
      <c r="Q55" s="77">
        <f t="shared" si="1"/>
        <v>9077.4893000458178</v>
      </c>
      <c r="R55" s="90">
        <f t="shared" si="4"/>
        <v>19048.21519075262</v>
      </c>
      <c r="S55" s="79">
        <f t="shared" si="5"/>
        <v>158186.26859063606</v>
      </c>
      <c r="T55" s="79">
        <f t="shared" si="9"/>
        <v>177234.48378138861</v>
      </c>
    </row>
    <row r="56" spans="2:22" x14ac:dyDescent="0.25">
      <c r="F56" s="92" t="s">
        <v>36</v>
      </c>
      <c r="G56" s="93">
        <f>B44+(G44/(G45-G44))*-1</f>
        <v>9.4100630243771892</v>
      </c>
      <c r="L56" s="94"/>
      <c r="Q56" s="92" t="s">
        <v>36</v>
      </c>
      <c r="R56" s="93">
        <f>M52+(R52/(R53-R52))*-1</f>
        <v>17.870992152381721</v>
      </c>
      <c r="U56" s="95"/>
      <c r="V56" s="95"/>
    </row>
    <row r="57" spans="2:22" x14ac:dyDescent="0.25">
      <c r="F57" s="92" t="s">
        <v>37</v>
      </c>
      <c r="G57" s="96">
        <f>G55/H55</f>
        <v>1.1474646963622126</v>
      </c>
      <c r="Q57" s="92" t="s">
        <v>37</v>
      </c>
      <c r="R57" s="96">
        <f>R55/S55</f>
        <v>0.12041636331941515</v>
      </c>
    </row>
    <row r="58" spans="2:22" x14ac:dyDescent="0.25">
      <c r="I58" s="1" t="s">
        <v>35</v>
      </c>
      <c r="J58" s="97">
        <f>0.41*365</f>
        <v>149.64999999999998</v>
      </c>
      <c r="K58" s="1" t="s">
        <v>6</v>
      </c>
      <c r="T58" s="1" t="s">
        <v>39</v>
      </c>
      <c r="U58" s="97">
        <f>0.87*365</f>
        <v>317.55</v>
      </c>
      <c r="V58" s="1" t="s">
        <v>6</v>
      </c>
    </row>
  </sheetData>
  <sheetProtection password="A926" sheet="1" formatCells="0" formatColumns="0" formatRows="0" insertColumns="0" insertRows="0" insertHyperlinks="0" deleteColumns="0" deleteRows="0" sort="0" autoFilter="0" pivotTables="0"/>
  <mergeCells count="21">
    <mergeCell ref="B33:I33"/>
    <mergeCell ref="J29:J30"/>
    <mergeCell ref="M33:T33"/>
    <mergeCell ref="T2:W2"/>
    <mergeCell ref="T3:W3"/>
    <mergeCell ref="T6:V6"/>
    <mergeCell ref="T7:W7"/>
    <mergeCell ref="T8:V8"/>
    <mergeCell ref="T5:V5"/>
    <mergeCell ref="T4:V4"/>
    <mergeCell ref="C29:I30"/>
    <mergeCell ref="Y2:AB2"/>
    <mergeCell ref="Z3:AB3"/>
    <mergeCell ref="Z4:AB4"/>
    <mergeCell ref="C28:I28"/>
    <mergeCell ref="C25:J25"/>
    <mergeCell ref="C27:I27"/>
    <mergeCell ref="C26:I26"/>
    <mergeCell ref="E2:J2"/>
    <mergeCell ref="B11:J11"/>
    <mergeCell ref="M2:Q2"/>
  </mergeCells>
  <pageMargins left="0.7" right="0.7" top="0.75" bottom="0.75" header="0.3" footer="0.3"/>
  <pageSetup paperSize="9" orientation="portrait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Fotovoltaicos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</dc:creator>
  <cp:lastModifiedBy>Nuno</cp:lastModifiedBy>
  <dcterms:created xsi:type="dcterms:W3CDTF">2014-03-01T13:11:18Z</dcterms:created>
  <dcterms:modified xsi:type="dcterms:W3CDTF">2014-05-06T22:37:32Z</dcterms:modified>
</cp:coreProperties>
</file>