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3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4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26" lockStructure="1"/>
  <bookViews>
    <workbookView xWindow="720" yWindow="345" windowWidth="17955" windowHeight="8220" activeTab="2"/>
  </bookViews>
  <sheets>
    <sheet name="Mensais 07-12 MOD's" sheetId="2" r:id="rId1"/>
    <sheet name="Mod_2" sheetId="1" r:id="rId2"/>
    <sheet name="FimOcup.Foyer_2" sheetId="3" r:id="rId3"/>
    <sheet name="Chillers_2" sheetId="4" r:id="rId4"/>
    <sheet name="FimOcup.BB_2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</externalReferences>
  <definedNames>
    <definedName name="_xlnm.Print_Area" localSheetId="3">Chillers_2!#REF!</definedName>
    <definedName name="_xlnm.Print_Area" localSheetId="4">FimOcup.BB_2!#REF!</definedName>
    <definedName name="_xlnm.Print_Area" localSheetId="2">FimOcup.Foyer_2!#REF!</definedName>
    <definedName name="_xlnm.Print_Area" localSheetId="1">Mod_2!$AY$22:$BL$85</definedName>
  </definedNames>
  <calcPr calcId="145621"/>
</workbook>
</file>

<file path=xl/calcChain.xml><?xml version="1.0" encoding="utf-8"?>
<calcChain xmlns="http://schemas.openxmlformats.org/spreadsheetml/2006/main">
  <c r="I67" i="5" l="1"/>
  <c r="H67" i="5"/>
  <c r="E67" i="5"/>
  <c r="D67" i="5"/>
  <c r="I66" i="5"/>
  <c r="H66" i="5"/>
  <c r="E66" i="5"/>
  <c r="D66" i="5"/>
  <c r="I65" i="5"/>
  <c r="H65" i="5"/>
  <c r="E65" i="5"/>
  <c r="D65" i="5"/>
  <c r="I64" i="5"/>
  <c r="H64" i="5"/>
  <c r="E64" i="5"/>
  <c r="D64" i="5"/>
  <c r="I63" i="5"/>
  <c r="H63" i="5"/>
  <c r="E63" i="5"/>
  <c r="D63" i="5"/>
  <c r="I62" i="5"/>
  <c r="H62" i="5"/>
  <c r="E62" i="5"/>
  <c r="D62" i="5"/>
  <c r="I61" i="5"/>
  <c r="H61" i="5"/>
  <c r="E61" i="5"/>
  <c r="D61" i="5"/>
  <c r="I60" i="5"/>
  <c r="H60" i="5"/>
  <c r="E60" i="5"/>
  <c r="D60" i="5"/>
  <c r="I59" i="5"/>
  <c r="H59" i="5"/>
  <c r="E59" i="5"/>
  <c r="D59" i="5"/>
  <c r="I58" i="5"/>
  <c r="H58" i="5"/>
  <c r="E58" i="5"/>
  <c r="D58" i="5"/>
  <c r="I57" i="5"/>
  <c r="H57" i="5"/>
  <c r="E57" i="5"/>
  <c r="D57" i="5"/>
  <c r="I56" i="5"/>
  <c r="H56" i="5"/>
  <c r="E56" i="5"/>
  <c r="D56" i="5"/>
  <c r="I51" i="5"/>
  <c r="H51" i="5"/>
  <c r="E51" i="5"/>
  <c r="D51" i="5"/>
  <c r="I50" i="5"/>
  <c r="H50" i="5"/>
  <c r="E50" i="5"/>
  <c r="D50" i="5"/>
  <c r="I49" i="5"/>
  <c r="H49" i="5"/>
  <c r="E49" i="5"/>
  <c r="D49" i="5"/>
  <c r="I48" i="5"/>
  <c r="H48" i="5"/>
  <c r="E48" i="5"/>
  <c r="D48" i="5"/>
  <c r="I47" i="5"/>
  <c r="H47" i="5"/>
  <c r="E47" i="5"/>
  <c r="D47" i="5"/>
  <c r="I46" i="5"/>
  <c r="H46" i="5"/>
  <c r="E46" i="5"/>
  <c r="D46" i="5"/>
  <c r="I45" i="5"/>
  <c r="H45" i="5"/>
  <c r="E45" i="5"/>
  <c r="D45" i="5"/>
  <c r="I44" i="5"/>
  <c r="H44" i="5"/>
  <c r="E44" i="5"/>
  <c r="D44" i="5"/>
  <c r="I43" i="5"/>
  <c r="H43" i="5"/>
  <c r="E43" i="5"/>
  <c r="D43" i="5"/>
  <c r="I42" i="5"/>
  <c r="H42" i="5"/>
  <c r="E42" i="5"/>
  <c r="D42" i="5"/>
  <c r="I41" i="5"/>
  <c r="H41" i="5"/>
  <c r="E41" i="5"/>
  <c r="D41" i="5"/>
  <c r="I40" i="5"/>
  <c r="H40" i="5"/>
  <c r="E40" i="5"/>
  <c r="D40" i="5"/>
  <c r="I35" i="5"/>
  <c r="H35" i="5"/>
  <c r="E35" i="5"/>
  <c r="D35" i="5"/>
  <c r="I34" i="5"/>
  <c r="H34" i="5"/>
  <c r="E34" i="5"/>
  <c r="D34" i="5"/>
  <c r="I33" i="5"/>
  <c r="H33" i="5"/>
  <c r="E33" i="5"/>
  <c r="D33" i="5"/>
  <c r="I32" i="5"/>
  <c r="H32" i="5"/>
  <c r="E32" i="5"/>
  <c r="D32" i="5"/>
  <c r="I31" i="5"/>
  <c r="H31" i="5"/>
  <c r="E31" i="5"/>
  <c r="D31" i="5"/>
  <c r="I30" i="5"/>
  <c r="H30" i="5"/>
  <c r="E30" i="5"/>
  <c r="D30" i="5"/>
  <c r="I29" i="5"/>
  <c r="H29" i="5"/>
  <c r="E29" i="5"/>
  <c r="D29" i="5"/>
  <c r="I28" i="5"/>
  <c r="H28" i="5"/>
  <c r="E28" i="5"/>
  <c r="D28" i="5"/>
  <c r="I27" i="5"/>
  <c r="H27" i="5"/>
  <c r="E27" i="5"/>
  <c r="D27" i="5"/>
  <c r="I26" i="5"/>
  <c r="H26" i="5"/>
  <c r="E26" i="5"/>
  <c r="D26" i="5"/>
  <c r="I25" i="5"/>
  <c r="H25" i="5"/>
  <c r="E25" i="5"/>
  <c r="D25" i="5"/>
  <c r="I24" i="5"/>
  <c r="H24" i="5"/>
  <c r="E24" i="5"/>
  <c r="D24" i="5"/>
  <c r="I19" i="5"/>
  <c r="H19" i="5"/>
  <c r="E19" i="5"/>
  <c r="D19" i="5"/>
  <c r="I18" i="5"/>
  <c r="H18" i="5"/>
  <c r="E18" i="5"/>
  <c r="D18" i="5"/>
  <c r="I17" i="5"/>
  <c r="H17" i="5"/>
  <c r="E17" i="5"/>
  <c r="D17" i="5"/>
  <c r="I16" i="5"/>
  <c r="H16" i="5"/>
  <c r="E16" i="5"/>
  <c r="D16" i="5"/>
  <c r="I15" i="5"/>
  <c r="H15" i="5"/>
  <c r="E15" i="5"/>
  <c r="D15" i="5"/>
  <c r="I14" i="5"/>
  <c r="H14" i="5"/>
  <c r="E14" i="5"/>
  <c r="D14" i="5"/>
  <c r="I13" i="5"/>
  <c r="H13" i="5"/>
  <c r="E13" i="5"/>
  <c r="D13" i="5"/>
  <c r="I12" i="5"/>
  <c r="H12" i="5"/>
  <c r="E12" i="5"/>
  <c r="D12" i="5"/>
  <c r="I11" i="5"/>
  <c r="H11" i="5"/>
  <c r="E11" i="5"/>
  <c r="D11" i="5"/>
  <c r="I10" i="5"/>
  <c r="H10" i="5"/>
  <c r="E10" i="5"/>
  <c r="D10" i="5"/>
  <c r="I9" i="5"/>
  <c r="H9" i="5"/>
  <c r="E9" i="5"/>
  <c r="D9" i="5"/>
  <c r="I8" i="5"/>
  <c r="H8" i="5"/>
  <c r="E8" i="5"/>
  <c r="D8" i="5"/>
  <c r="I35" i="4"/>
  <c r="H35" i="4"/>
  <c r="E35" i="4"/>
  <c r="D35" i="4"/>
  <c r="I34" i="4"/>
  <c r="H34" i="4"/>
  <c r="E34" i="4"/>
  <c r="D34" i="4"/>
  <c r="I33" i="4"/>
  <c r="H33" i="4"/>
  <c r="E33" i="4"/>
  <c r="D33" i="4"/>
  <c r="I32" i="4"/>
  <c r="H32" i="4"/>
  <c r="E32" i="4"/>
  <c r="D32" i="4"/>
  <c r="I31" i="4"/>
  <c r="H31" i="4"/>
  <c r="E31" i="4"/>
  <c r="D31" i="4"/>
  <c r="I30" i="4"/>
  <c r="H30" i="4"/>
  <c r="E30" i="4"/>
  <c r="D30" i="4"/>
  <c r="I29" i="4"/>
  <c r="H29" i="4"/>
  <c r="E29" i="4"/>
  <c r="D29" i="4"/>
  <c r="I28" i="4"/>
  <c r="H28" i="4"/>
  <c r="E28" i="4"/>
  <c r="D28" i="4"/>
  <c r="I27" i="4"/>
  <c r="H27" i="4"/>
  <c r="E27" i="4"/>
  <c r="D27" i="4"/>
  <c r="I26" i="4"/>
  <c r="H26" i="4"/>
  <c r="E26" i="4"/>
  <c r="D26" i="4"/>
  <c r="I25" i="4"/>
  <c r="H25" i="4"/>
  <c r="E25" i="4"/>
  <c r="D25" i="4"/>
  <c r="I24" i="4"/>
  <c r="H24" i="4"/>
  <c r="E24" i="4"/>
  <c r="D24" i="4"/>
  <c r="I19" i="4"/>
  <c r="H19" i="4"/>
  <c r="E19" i="4"/>
  <c r="D19" i="4"/>
  <c r="I18" i="4"/>
  <c r="H18" i="4"/>
  <c r="E18" i="4"/>
  <c r="D18" i="4"/>
  <c r="I17" i="4"/>
  <c r="H17" i="4"/>
  <c r="E17" i="4"/>
  <c r="D17" i="4"/>
  <c r="I16" i="4"/>
  <c r="H16" i="4"/>
  <c r="E16" i="4"/>
  <c r="D16" i="4"/>
  <c r="I15" i="4"/>
  <c r="H15" i="4"/>
  <c r="E15" i="4"/>
  <c r="D15" i="4"/>
  <c r="I14" i="4"/>
  <c r="H14" i="4"/>
  <c r="E14" i="4"/>
  <c r="D14" i="4"/>
  <c r="I13" i="4"/>
  <c r="H13" i="4"/>
  <c r="E13" i="4"/>
  <c r="D13" i="4"/>
  <c r="I12" i="4"/>
  <c r="H12" i="4"/>
  <c r="E12" i="4"/>
  <c r="D12" i="4"/>
  <c r="I11" i="4"/>
  <c r="H11" i="4"/>
  <c r="E11" i="4"/>
  <c r="D11" i="4"/>
  <c r="I10" i="4"/>
  <c r="H10" i="4"/>
  <c r="E10" i="4"/>
  <c r="D10" i="4"/>
  <c r="I9" i="4"/>
  <c r="H9" i="4"/>
  <c r="E9" i="4"/>
  <c r="D9" i="4"/>
  <c r="I8" i="4"/>
  <c r="H8" i="4"/>
  <c r="E8" i="4"/>
  <c r="D8" i="4"/>
  <c r="O66" i="2" l="1"/>
  <c r="N66" i="2"/>
  <c r="M66" i="2"/>
  <c r="L66" i="2"/>
  <c r="K66" i="2"/>
  <c r="J66" i="2"/>
  <c r="I66" i="2"/>
  <c r="H66" i="2"/>
  <c r="G66" i="2"/>
  <c r="F66" i="2"/>
  <c r="E66" i="2"/>
  <c r="D66" i="2"/>
  <c r="O65" i="2"/>
  <c r="N65" i="2"/>
  <c r="M65" i="2"/>
  <c r="L65" i="2"/>
  <c r="K65" i="2"/>
  <c r="J65" i="2"/>
  <c r="I65" i="2"/>
  <c r="H65" i="2"/>
  <c r="G65" i="2"/>
  <c r="F65" i="2"/>
  <c r="E65" i="2"/>
  <c r="D65" i="2"/>
  <c r="O64" i="2"/>
  <c r="N64" i="2"/>
  <c r="M64" i="2"/>
  <c r="L64" i="2"/>
  <c r="K64" i="2"/>
  <c r="J64" i="2"/>
  <c r="I64" i="2"/>
  <c r="H64" i="2"/>
  <c r="G64" i="2"/>
  <c r="F64" i="2"/>
  <c r="E64" i="2"/>
  <c r="D64" i="2"/>
  <c r="O63" i="2"/>
  <c r="N63" i="2"/>
  <c r="M63" i="2"/>
  <c r="L63" i="2"/>
  <c r="K63" i="2"/>
  <c r="J63" i="2"/>
  <c r="I63" i="2"/>
  <c r="H63" i="2"/>
  <c r="G63" i="2"/>
  <c r="F63" i="2"/>
  <c r="E63" i="2"/>
  <c r="D63" i="2"/>
  <c r="O62" i="2"/>
  <c r="N62" i="2"/>
  <c r="M62" i="2"/>
  <c r="L62" i="2"/>
  <c r="K62" i="2"/>
  <c r="J62" i="2"/>
  <c r="I62" i="2"/>
  <c r="H62" i="2"/>
  <c r="G62" i="2"/>
  <c r="F62" i="2"/>
  <c r="E62" i="2"/>
  <c r="D62" i="2"/>
  <c r="O61" i="2"/>
  <c r="N61" i="2"/>
  <c r="M61" i="2"/>
  <c r="L61" i="2"/>
  <c r="K61" i="2"/>
  <c r="J61" i="2"/>
  <c r="I61" i="2"/>
  <c r="H61" i="2"/>
  <c r="G61" i="2"/>
  <c r="F61" i="2"/>
  <c r="E61" i="2"/>
  <c r="D61" i="2"/>
  <c r="O60" i="2"/>
  <c r="N60" i="2"/>
  <c r="M60" i="2"/>
  <c r="L60" i="2"/>
  <c r="K60" i="2"/>
  <c r="J60" i="2"/>
  <c r="I60" i="2"/>
  <c r="H60" i="2"/>
  <c r="G60" i="2"/>
  <c r="F60" i="2"/>
  <c r="E60" i="2"/>
  <c r="D60" i="2"/>
  <c r="O59" i="2"/>
  <c r="N59" i="2"/>
  <c r="M59" i="2"/>
  <c r="L59" i="2"/>
  <c r="K59" i="2"/>
  <c r="J59" i="2"/>
  <c r="I59" i="2"/>
  <c r="H59" i="2"/>
  <c r="G59" i="2"/>
  <c r="F59" i="2"/>
  <c r="E59" i="2"/>
  <c r="D59" i="2"/>
  <c r="O58" i="2"/>
  <c r="N58" i="2"/>
  <c r="M58" i="2"/>
  <c r="L58" i="2"/>
  <c r="K58" i="2"/>
  <c r="J58" i="2"/>
  <c r="I58" i="2"/>
  <c r="H58" i="2"/>
  <c r="G58" i="2"/>
  <c r="F58" i="2"/>
  <c r="E58" i="2"/>
  <c r="D58" i="2"/>
  <c r="O57" i="2"/>
  <c r="N57" i="2"/>
  <c r="M57" i="2"/>
  <c r="L57" i="2"/>
  <c r="K57" i="2"/>
  <c r="J57" i="2"/>
  <c r="I57" i="2"/>
  <c r="H57" i="2"/>
  <c r="G57" i="2"/>
  <c r="F57" i="2"/>
  <c r="E57" i="2"/>
  <c r="D57" i="2"/>
  <c r="O56" i="2"/>
  <c r="N56" i="2"/>
  <c r="M56" i="2"/>
  <c r="L56" i="2"/>
  <c r="K56" i="2"/>
  <c r="J56" i="2"/>
  <c r="I56" i="2"/>
  <c r="H56" i="2"/>
  <c r="G56" i="2"/>
  <c r="F56" i="2"/>
  <c r="E56" i="2"/>
  <c r="D56" i="2"/>
  <c r="O55" i="2"/>
  <c r="N55" i="2"/>
  <c r="M55" i="2"/>
  <c r="L55" i="2"/>
  <c r="K55" i="2"/>
  <c r="J55" i="2"/>
  <c r="I55" i="2"/>
  <c r="H55" i="2"/>
  <c r="G55" i="2"/>
  <c r="F55" i="2"/>
  <c r="E55" i="2"/>
  <c r="D55" i="2"/>
  <c r="O54" i="2"/>
  <c r="N54" i="2"/>
  <c r="M54" i="2"/>
  <c r="L54" i="2"/>
  <c r="K54" i="2"/>
  <c r="J54" i="2"/>
  <c r="I54" i="2"/>
  <c r="H54" i="2"/>
  <c r="G54" i="2"/>
  <c r="F54" i="2"/>
  <c r="E54" i="2"/>
  <c r="D54" i="2"/>
  <c r="O53" i="2"/>
  <c r="N53" i="2"/>
  <c r="M53" i="2"/>
  <c r="L53" i="2"/>
  <c r="K53" i="2"/>
  <c r="J53" i="2"/>
  <c r="I53" i="2"/>
  <c r="H53" i="2"/>
  <c r="G53" i="2"/>
  <c r="F53" i="2"/>
  <c r="E53" i="2"/>
  <c r="D53" i="2"/>
  <c r="O52" i="2"/>
  <c r="N52" i="2"/>
  <c r="M52" i="2"/>
  <c r="L52" i="2"/>
  <c r="K52" i="2"/>
  <c r="J52" i="2"/>
  <c r="I52" i="2"/>
  <c r="H52" i="2"/>
  <c r="G52" i="2"/>
  <c r="F52" i="2"/>
  <c r="E52" i="2"/>
  <c r="D52" i="2"/>
  <c r="O51" i="2"/>
  <c r="N51" i="2"/>
  <c r="M51" i="2"/>
  <c r="L51" i="2"/>
  <c r="K51" i="2"/>
  <c r="J51" i="2"/>
  <c r="I51" i="2"/>
  <c r="H51" i="2"/>
  <c r="G51" i="2"/>
  <c r="F51" i="2"/>
  <c r="E51" i="2"/>
  <c r="D51" i="2"/>
  <c r="O50" i="2"/>
  <c r="N50" i="2"/>
  <c r="M50" i="2"/>
  <c r="L50" i="2"/>
  <c r="K50" i="2"/>
  <c r="J50" i="2"/>
  <c r="I50" i="2"/>
  <c r="H50" i="2"/>
  <c r="G50" i="2"/>
  <c r="F50" i="2"/>
  <c r="E50" i="2"/>
  <c r="D50" i="2"/>
  <c r="O49" i="2"/>
  <c r="N49" i="2"/>
  <c r="M49" i="2"/>
  <c r="L49" i="2"/>
  <c r="K49" i="2"/>
  <c r="J49" i="2"/>
  <c r="I49" i="2"/>
  <c r="H49" i="2"/>
  <c r="G49" i="2"/>
  <c r="F49" i="2"/>
  <c r="E49" i="2"/>
  <c r="D49" i="2"/>
  <c r="O44" i="2"/>
  <c r="N44" i="2"/>
  <c r="M44" i="2"/>
  <c r="L44" i="2"/>
  <c r="K44" i="2"/>
  <c r="J44" i="2"/>
  <c r="I44" i="2"/>
  <c r="H44" i="2"/>
  <c r="G44" i="2"/>
  <c r="F44" i="2"/>
  <c r="E44" i="2"/>
  <c r="D44" i="2"/>
  <c r="O43" i="2"/>
  <c r="N43" i="2"/>
  <c r="M43" i="2"/>
  <c r="L43" i="2"/>
  <c r="K43" i="2"/>
  <c r="J43" i="2"/>
  <c r="I43" i="2"/>
  <c r="H43" i="2"/>
  <c r="G43" i="2"/>
  <c r="F43" i="2"/>
  <c r="E43" i="2"/>
  <c r="D43" i="2"/>
  <c r="O42" i="2"/>
  <c r="N42" i="2"/>
  <c r="M42" i="2"/>
  <c r="L42" i="2"/>
  <c r="K42" i="2"/>
  <c r="J42" i="2"/>
  <c r="I42" i="2"/>
  <c r="H42" i="2"/>
  <c r="G42" i="2"/>
  <c r="F42" i="2"/>
  <c r="E42" i="2"/>
  <c r="D42" i="2"/>
  <c r="O41" i="2"/>
  <c r="N41" i="2"/>
  <c r="M41" i="2"/>
  <c r="L41" i="2"/>
  <c r="K41" i="2"/>
  <c r="J41" i="2"/>
  <c r="I41" i="2"/>
  <c r="H41" i="2"/>
  <c r="G41" i="2"/>
  <c r="F41" i="2"/>
  <c r="E41" i="2"/>
  <c r="D41" i="2"/>
  <c r="O40" i="2"/>
  <c r="N40" i="2"/>
  <c r="M40" i="2"/>
  <c r="L40" i="2"/>
  <c r="K40" i="2"/>
  <c r="J40" i="2"/>
  <c r="I40" i="2"/>
  <c r="H40" i="2"/>
  <c r="G40" i="2"/>
  <c r="F40" i="2"/>
  <c r="E40" i="2"/>
  <c r="D40" i="2"/>
  <c r="O39" i="2"/>
  <c r="N39" i="2"/>
  <c r="M39" i="2"/>
  <c r="L39" i="2"/>
  <c r="K39" i="2"/>
  <c r="J39" i="2"/>
  <c r="I39" i="2"/>
  <c r="H39" i="2"/>
  <c r="G39" i="2"/>
  <c r="F39" i="2"/>
  <c r="E39" i="2"/>
  <c r="D39" i="2"/>
  <c r="O38" i="2"/>
  <c r="N38" i="2"/>
  <c r="M38" i="2"/>
  <c r="L38" i="2"/>
  <c r="K38" i="2"/>
  <c r="J38" i="2"/>
  <c r="I38" i="2"/>
  <c r="H38" i="2"/>
  <c r="G38" i="2"/>
  <c r="F38" i="2"/>
  <c r="E38" i="2"/>
  <c r="D38" i="2"/>
  <c r="O37" i="2"/>
  <c r="N37" i="2"/>
  <c r="M37" i="2"/>
  <c r="L37" i="2"/>
  <c r="K37" i="2"/>
  <c r="J37" i="2"/>
  <c r="I37" i="2"/>
  <c r="H37" i="2"/>
  <c r="G37" i="2"/>
  <c r="F37" i="2"/>
  <c r="E37" i="2"/>
  <c r="D37" i="2"/>
  <c r="O36" i="2"/>
  <c r="N36" i="2"/>
  <c r="M36" i="2"/>
  <c r="L36" i="2"/>
  <c r="K36" i="2"/>
  <c r="J36" i="2"/>
  <c r="I36" i="2"/>
  <c r="H36" i="2"/>
  <c r="G36" i="2"/>
  <c r="F36" i="2"/>
  <c r="E36" i="2"/>
  <c r="D36" i="2"/>
  <c r="O35" i="2"/>
  <c r="N35" i="2"/>
  <c r="M35" i="2"/>
  <c r="L35" i="2"/>
  <c r="K35" i="2"/>
  <c r="J35" i="2"/>
  <c r="I35" i="2"/>
  <c r="H35" i="2"/>
  <c r="G35" i="2"/>
  <c r="F35" i="2"/>
  <c r="E35" i="2"/>
  <c r="D35" i="2"/>
  <c r="O34" i="2"/>
  <c r="N34" i="2"/>
  <c r="M34" i="2"/>
  <c r="L34" i="2"/>
  <c r="K34" i="2"/>
  <c r="J34" i="2"/>
  <c r="I34" i="2"/>
  <c r="H34" i="2"/>
  <c r="G34" i="2"/>
  <c r="F34" i="2"/>
  <c r="E34" i="2"/>
  <c r="D34" i="2"/>
  <c r="O33" i="2"/>
  <c r="N33" i="2"/>
  <c r="M33" i="2"/>
  <c r="L33" i="2"/>
  <c r="K33" i="2"/>
  <c r="J33" i="2"/>
  <c r="I33" i="2"/>
  <c r="H33" i="2"/>
  <c r="G33" i="2"/>
  <c r="F33" i="2"/>
  <c r="E33" i="2"/>
  <c r="D33" i="2"/>
  <c r="O32" i="2"/>
  <c r="N32" i="2"/>
  <c r="M32" i="2"/>
  <c r="L32" i="2"/>
  <c r="K32" i="2"/>
  <c r="J32" i="2"/>
  <c r="I32" i="2"/>
  <c r="H32" i="2"/>
  <c r="G32" i="2"/>
  <c r="F32" i="2"/>
  <c r="E32" i="2"/>
  <c r="D32" i="2"/>
  <c r="O31" i="2"/>
  <c r="N31" i="2"/>
  <c r="M31" i="2"/>
  <c r="L31" i="2"/>
  <c r="K31" i="2"/>
  <c r="J31" i="2"/>
  <c r="I31" i="2"/>
  <c r="H31" i="2"/>
  <c r="G31" i="2"/>
  <c r="F31" i="2"/>
  <c r="E31" i="2"/>
  <c r="D31" i="2"/>
  <c r="O30" i="2"/>
  <c r="N30" i="2"/>
  <c r="M30" i="2"/>
  <c r="L30" i="2"/>
  <c r="K30" i="2"/>
  <c r="J30" i="2"/>
  <c r="I30" i="2"/>
  <c r="H30" i="2"/>
  <c r="G30" i="2"/>
  <c r="F30" i="2"/>
  <c r="E30" i="2"/>
  <c r="D30" i="2"/>
  <c r="O29" i="2"/>
  <c r="N29" i="2"/>
  <c r="M29" i="2"/>
  <c r="L29" i="2"/>
  <c r="K29" i="2"/>
  <c r="J29" i="2"/>
  <c r="I29" i="2"/>
  <c r="H29" i="2"/>
  <c r="G29" i="2"/>
  <c r="F29" i="2"/>
  <c r="E29" i="2"/>
  <c r="D29" i="2"/>
  <c r="O28" i="2"/>
  <c r="N28" i="2"/>
  <c r="M28" i="2"/>
  <c r="L28" i="2"/>
  <c r="K28" i="2"/>
  <c r="J28" i="2"/>
  <c r="I28" i="2"/>
  <c r="H28" i="2"/>
  <c r="G28" i="2"/>
  <c r="F28" i="2"/>
  <c r="E28" i="2"/>
  <c r="D28" i="2"/>
  <c r="O27" i="2"/>
  <c r="N27" i="2"/>
  <c r="M27" i="2"/>
  <c r="L27" i="2"/>
  <c r="K27" i="2"/>
  <c r="J27" i="2"/>
  <c r="I27" i="2"/>
  <c r="H27" i="2"/>
  <c r="G27" i="2"/>
  <c r="F27" i="2"/>
  <c r="E27" i="2"/>
  <c r="D27" i="2"/>
  <c r="O22" i="2"/>
  <c r="N22" i="2"/>
  <c r="M22" i="2"/>
  <c r="L22" i="2"/>
  <c r="K22" i="2"/>
  <c r="J22" i="2"/>
  <c r="I22" i="2"/>
  <c r="H22" i="2"/>
  <c r="G22" i="2"/>
  <c r="F22" i="2"/>
  <c r="E22" i="2"/>
  <c r="D22" i="2"/>
  <c r="O21" i="2"/>
  <c r="N21" i="2"/>
  <c r="M21" i="2"/>
  <c r="L21" i="2"/>
  <c r="K21" i="2"/>
  <c r="J21" i="2"/>
  <c r="I21" i="2"/>
  <c r="H21" i="2"/>
  <c r="G21" i="2"/>
  <c r="F21" i="2"/>
  <c r="E21" i="2"/>
  <c r="D21" i="2"/>
  <c r="O20" i="2"/>
  <c r="N20" i="2"/>
  <c r="M20" i="2"/>
  <c r="L20" i="2"/>
  <c r="K20" i="2"/>
  <c r="J20" i="2"/>
  <c r="I20" i="2"/>
  <c r="H20" i="2"/>
  <c r="G20" i="2"/>
  <c r="F20" i="2"/>
  <c r="E20" i="2"/>
  <c r="D20" i="2"/>
  <c r="O19" i="2"/>
  <c r="N19" i="2"/>
  <c r="M19" i="2"/>
  <c r="L19" i="2"/>
  <c r="K19" i="2"/>
  <c r="J19" i="2"/>
  <c r="I19" i="2"/>
  <c r="H19" i="2"/>
  <c r="G19" i="2"/>
  <c r="F19" i="2"/>
  <c r="E19" i="2"/>
  <c r="D19" i="2"/>
  <c r="O18" i="2"/>
  <c r="N18" i="2"/>
  <c r="M18" i="2"/>
  <c r="L18" i="2"/>
  <c r="K18" i="2"/>
  <c r="J18" i="2"/>
  <c r="I18" i="2"/>
  <c r="H18" i="2"/>
  <c r="G18" i="2"/>
  <c r="F18" i="2"/>
  <c r="E18" i="2"/>
  <c r="D18" i="2"/>
  <c r="O17" i="2"/>
  <c r="N17" i="2"/>
  <c r="M17" i="2"/>
  <c r="L17" i="2"/>
  <c r="K17" i="2"/>
  <c r="J17" i="2"/>
  <c r="I17" i="2"/>
  <c r="H17" i="2"/>
  <c r="G17" i="2"/>
  <c r="F17" i="2"/>
  <c r="E17" i="2"/>
  <c r="D17" i="2"/>
  <c r="O16" i="2"/>
  <c r="N16" i="2"/>
  <c r="M16" i="2"/>
  <c r="L16" i="2"/>
  <c r="K16" i="2"/>
  <c r="J16" i="2"/>
  <c r="I16" i="2"/>
  <c r="H16" i="2"/>
  <c r="G16" i="2"/>
  <c r="F16" i="2"/>
  <c r="E16" i="2"/>
  <c r="D16" i="2"/>
  <c r="O15" i="2"/>
  <c r="N15" i="2"/>
  <c r="M15" i="2"/>
  <c r="L15" i="2"/>
  <c r="K15" i="2"/>
  <c r="J15" i="2"/>
  <c r="I15" i="2"/>
  <c r="H15" i="2"/>
  <c r="G15" i="2"/>
  <c r="F15" i="2"/>
  <c r="E15" i="2"/>
  <c r="D15" i="2"/>
  <c r="O14" i="2"/>
  <c r="N14" i="2"/>
  <c r="M14" i="2"/>
  <c r="L14" i="2"/>
  <c r="K14" i="2"/>
  <c r="J14" i="2"/>
  <c r="I14" i="2"/>
  <c r="H14" i="2"/>
  <c r="G14" i="2"/>
  <c r="F14" i="2"/>
  <c r="E14" i="2"/>
  <c r="D14" i="2"/>
  <c r="O13" i="2"/>
  <c r="N13" i="2"/>
  <c r="M13" i="2"/>
  <c r="L13" i="2"/>
  <c r="K13" i="2"/>
  <c r="J13" i="2"/>
  <c r="I13" i="2"/>
  <c r="H13" i="2"/>
  <c r="G13" i="2"/>
  <c r="F13" i="2"/>
  <c r="E13" i="2"/>
  <c r="D13" i="2"/>
  <c r="O12" i="2"/>
  <c r="N12" i="2"/>
  <c r="M12" i="2"/>
  <c r="L12" i="2"/>
  <c r="K12" i="2"/>
  <c r="J12" i="2"/>
  <c r="I12" i="2"/>
  <c r="H12" i="2"/>
  <c r="G12" i="2"/>
  <c r="F12" i="2"/>
  <c r="E12" i="2"/>
  <c r="D12" i="2"/>
  <c r="O11" i="2"/>
  <c r="N11" i="2"/>
  <c r="M11" i="2"/>
  <c r="L11" i="2"/>
  <c r="K11" i="2"/>
  <c r="J11" i="2"/>
  <c r="I11" i="2"/>
  <c r="H11" i="2"/>
  <c r="G11" i="2"/>
  <c r="F11" i="2"/>
  <c r="E11" i="2"/>
  <c r="D11" i="2"/>
  <c r="O10" i="2"/>
  <c r="N10" i="2"/>
  <c r="M10" i="2"/>
  <c r="L10" i="2"/>
  <c r="K10" i="2"/>
  <c r="J10" i="2"/>
  <c r="I10" i="2"/>
  <c r="H10" i="2"/>
  <c r="G10" i="2"/>
  <c r="F10" i="2"/>
  <c r="E10" i="2"/>
  <c r="D10" i="2"/>
  <c r="O9" i="2"/>
  <c r="N9" i="2"/>
  <c r="M9" i="2"/>
  <c r="L9" i="2"/>
  <c r="K9" i="2"/>
  <c r="J9" i="2"/>
  <c r="I9" i="2"/>
  <c r="H9" i="2"/>
  <c r="G9" i="2"/>
  <c r="F9" i="2"/>
  <c r="E9" i="2"/>
  <c r="D9" i="2"/>
  <c r="O8" i="2"/>
  <c r="N8" i="2"/>
  <c r="M8" i="2"/>
  <c r="L8" i="2"/>
  <c r="K8" i="2"/>
  <c r="J8" i="2"/>
  <c r="I8" i="2"/>
  <c r="H8" i="2"/>
  <c r="G8" i="2"/>
  <c r="F8" i="2"/>
  <c r="E8" i="2"/>
  <c r="D8" i="2"/>
  <c r="O7" i="2"/>
  <c r="N7" i="2"/>
  <c r="M7" i="2"/>
  <c r="L7" i="2"/>
  <c r="K7" i="2"/>
  <c r="J7" i="2"/>
  <c r="I7" i="2"/>
  <c r="H7" i="2"/>
  <c r="G7" i="2"/>
  <c r="F7" i="2"/>
  <c r="E7" i="2"/>
  <c r="D7" i="2"/>
  <c r="O6" i="2"/>
  <c r="N6" i="2"/>
  <c r="M6" i="2"/>
  <c r="L6" i="2"/>
  <c r="K6" i="2"/>
  <c r="J6" i="2"/>
  <c r="I6" i="2"/>
  <c r="H6" i="2"/>
  <c r="G6" i="2"/>
  <c r="F6" i="2"/>
  <c r="E6" i="2"/>
  <c r="D6" i="2"/>
  <c r="O5" i="2"/>
  <c r="N5" i="2"/>
  <c r="M5" i="2"/>
  <c r="L5" i="2"/>
  <c r="K5" i="2"/>
  <c r="J5" i="2"/>
  <c r="I5" i="2"/>
  <c r="H5" i="2"/>
  <c r="G5" i="2"/>
  <c r="F5" i="2"/>
  <c r="E5" i="2"/>
  <c r="D5" i="2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AW66" i="1" s="1"/>
  <c r="D66" i="1"/>
  <c r="E65" i="1"/>
  <c r="AW65" i="1" s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AJ9" i="1" s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AW32" i="1" s="1"/>
  <c r="D32" i="1"/>
  <c r="E31" i="1"/>
  <c r="D31" i="1"/>
  <c r="E30" i="1"/>
  <c r="D30" i="1"/>
  <c r="E29" i="1"/>
  <c r="AJ7" i="1" s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AJ10" i="1"/>
  <c r="E10" i="1"/>
  <c r="D10" i="1"/>
  <c r="E9" i="1"/>
  <c r="D9" i="1"/>
  <c r="AJ8" i="1"/>
  <c r="E8" i="1"/>
  <c r="D8" i="1"/>
  <c r="E7" i="1"/>
  <c r="D7" i="1"/>
  <c r="AJ6" i="1"/>
  <c r="F6" i="1"/>
  <c r="F76" i="1" s="1"/>
  <c r="E6" i="1"/>
  <c r="E79" i="1" s="1"/>
  <c r="D6" i="1"/>
  <c r="G6" i="1" s="1"/>
  <c r="AW5" i="1"/>
  <c r="G5" i="1"/>
  <c r="AW39" i="1" l="1"/>
  <c r="AW40" i="1"/>
  <c r="AW41" i="1"/>
  <c r="AW42" i="1"/>
  <c r="AW43" i="1"/>
  <c r="F33" i="1"/>
  <c r="G33" i="1" s="1"/>
  <c r="AW56" i="1"/>
  <c r="AW57" i="1"/>
  <c r="AW58" i="1"/>
  <c r="AW59" i="1"/>
  <c r="AW60" i="1"/>
  <c r="AW61" i="1"/>
  <c r="AW72" i="1"/>
  <c r="G76" i="1"/>
  <c r="AJ5" i="1"/>
  <c r="AW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9" i="1"/>
  <c r="AW45" i="1"/>
  <c r="AW46" i="1"/>
  <c r="AW47" i="1"/>
  <c r="AW48" i="1"/>
  <c r="AW49" i="1"/>
  <c r="AW50" i="1"/>
  <c r="AW51" i="1"/>
  <c r="AW52" i="1"/>
  <c r="AW53" i="1"/>
  <c r="AW54" i="1"/>
  <c r="F75" i="1"/>
  <c r="F73" i="1"/>
  <c r="G73" i="1" s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74" i="1"/>
  <c r="G74" i="1" s="1"/>
  <c r="F54" i="1"/>
  <c r="G54" i="1" s="1"/>
  <c r="F53" i="1"/>
  <c r="F52" i="1"/>
  <c r="G52" i="1" s="1"/>
  <c r="F51" i="1"/>
  <c r="F50" i="1"/>
  <c r="G50" i="1" s="1"/>
  <c r="F49" i="1"/>
  <c r="F48" i="1"/>
  <c r="G48" i="1" s="1"/>
  <c r="F47" i="1"/>
  <c r="F46" i="1"/>
  <c r="G46" i="1" s="1"/>
  <c r="F45" i="1"/>
  <c r="F44" i="1"/>
  <c r="F43" i="1"/>
  <c r="F42" i="1"/>
  <c r="F41" i="1"/>
  <c r="F40" i="1"/>
  <c r="F39" i="1"/>
  <c r="F38" i="1"/>
  <c r="F37" i="1"/>
  <c r="F36" i="1"/>
  <c r="F35" i="1"/>
  <c r="F34" i="1"/>
  <c r="F32" i="1"/>
  <c r="F31" i="1"/>
  <c r="F30" i="1"/>
  <c r="F29" i="1"/>
  <c r="G29" i="1" s="1"/>
  <c r="F28" i="1"/>
  <c r="F27" i="1"/>
  <c r="G27" i="1" s="1"/>
  <c r="F26" i="1"/>
  <c r="F25" i="1"/>
  <c r="G25" i="1" s="1"/>
  <c r="F24" i="1"/>
  <c r="F23" i="1"/>
  <c r="F7" i="1"/>
  <c r="F8" i="1"/>
  <c r="G8" i="1" s="1"/>
  <c r="F9" i="1"/>
  <c r="F10" i="1"/>
  <c r="G10" i="1" s="1"/>
  <c r="F11" i="1"/>
  <c r="F12" i="1"/>
  <c r="G12" i="1" s="1"/>
  <c r="F13" i="1"/>
  <c r="F14" i="1"/>
  <c r="G14" i="1" s="1"/>
  <c r="F15" i="1"/>
  <c r="F16" i="1"/>
  <c r="G16" i="1" s="1"/>
  <c r="F17" i="1"/>
  <c r="F18" i="1"/>
  <c r="G18" i="1" s="1"/>
  <c r="F19" i="1"/>
  <c r="F20" i="1"/>
  <c r="G20" i="1" s="1"/>
  <c r="F21" i="1"/>
  <c r="F22" i="1"/>
  <c r="AW23" i="1"/>
  <c r="AW24" i="1"/>
  <c r="AW25" i="1"/>
  <c r="AW26" i="1"/>
  <c r="AW27" i="1"/>
  <c r="AW28" i="1"/>
  <c r="AW30" i="1"/>
  <c r="AW31" i="1"/>
  <c r="AW34" i="1"/>
  <c r="AW35" i="1"/>
  <c r="AW36" i="1"/>
  <c r="AW37" i="1"/>
  <c r="AW38" i="1"/>
  <c r="BK74" i="1" s="1"/>
  <c r="AW44" i="1"/>
  <c r="BK43" i="1"/>
  <c r="E78" i="1"/>
  <c r="AW33" i="1"/>
  <c r="BK41" i="1" s="1"/>
  <c r="AW55" i="1"/>
  <c r="AW62" i="1"/>
  <c r="AW63" i="1"/>
  <c r="AW64" i="1"/>
  <c r="AW67" i="1"/>
  <c r="BK29" i="1" s="1"/>
  <c r="AW68" i="1"/>
  <c r="AW69" i="1"/>
  <c r="AW70" i="1"/>
  <c r="AW71" i="1"/>
  <c r="AW73" i="1"/>
  <c r="AW74" i="1"/>
  <c r="AW75" i="1"/>
  <c r="AW76" i="1"/>
  <c r="BK42" i="1" l="1"/>
  <c r="BK57" i="1"/>
  <c r="BK24" i="1"/>
  <c r="BK27" i="1"/>
  <c r="BK40" i="1"/>
  <c r="BK39" i="1"/>
  <c r="BK60" i="1"/>
  <c r="BK44" i="1"/>
  <c r="BK76" i="1"/>
  <c r="G21" i="1"/>
  <c r="G19" i="1"/>
  <c r="G17" i="1"/>
  <c r="G15" i="1"/>
  <c r="G13" i="1"/>
  <c r="G11" i="1"/>
  <c r="G9" i="1"/>
  <c r="G7" i="1"/>
  <c r="G24" i="1"/>
  <c r="G26" i="1"/>
  <c r="G28" i="1"/>
  <c r="G30" i="1"/>
  <c r="G32" i="1"/>
  <c r="G35" i="1"/>
  <c r="G37" i="1"/>
  <c r="G39" i="1"/>
  <c r="G41" i="1"/>
  <c r="G43" i="1"/>
  <c r="G45" i="1"/>
  <c r="G47" i="1"/>
  <c r="G49" i="1"/>
  <c r="G51" i="1"/>
  <c r="G53" i="1"/>
  <c r="G56" i="1"/>
  <c r="G58" i="1"/>
  <c r="G60" i="1"/>
  <c r="G62" i="1"/>
  <c r="G64" i="1"/>
  <c r="G66" i="1"/>
  <c r="G68" i="1"/>
  <c r="G70" i="1"/>
  <c r="G72" i="1"/>
  <c r="BK75" i="1"/>
  <c r="BK77" i="1"/>
  <c r="G75" i="1"/>
  <c r="BK61" i="1"/>
  <c r="BK72" i="1"/>
  <c r="BK58" i="1"/>
  <c r="BK73" i="1"/>
  <c r="G22" i="1"/>
  <c r="G23" i="1"/>
  <c r="G31" i="1"/>
  <c r="G34" i="1"/>
  <c r="G36" i="1"/>
  <c r="G38" i="1"/>
  <c r="G40" i="1"/>
  <c r="G42" i="1"/>
  <c r="G44" i="1"/>
  <c r="G55" i="1"/>
  <c r="G57" i="1"/>
  <c r="G59" i="1"/>
  <c r="G61" i="1"/>
  <c r="G63" i="1"/>
  <c r="G65" i="1"/>
  <c r="G67" i="1"/>
  <c r="G69" i="1"/>
  <c r="G71" i="1"/>
  <c r="BK28" i="1"/>
  <c r="BK59" i="1"/>
  <c r="BK26" i="1"/>
  <c r="BK25" i="1"/>
  <c r="BK56" i="1"/>
  <c r="BK32" i="1" l="1"/>
  <c r="BK33" i="1"/>
  <c r="H6" i="1" l="1"/>
  <c r="H8" i="1"/>
  <c r="H10" i="1"/>
  <c r="H12" i="1"/>
  <c r="H14" i="1"/>
  <c r="H16" i="1"/>
  <c r="H18" i="1"/>
  <c r="H20" i="1"/>
  <c r="H22" i="1"/>
  <c r="H24" i="1"/>
  <c r="H26" i="1"/>
  <c r="H28" i="1"/>
  <c r="H30" i="1"/>
  <c r="H32" i="1"/>
  <c r="H34" i="1"/>
  <c r="H36" i="1"/>
  <c r="H38" i="1"/>
  <c r="H40" i="1"/>
  <c r="H42" i="1"/>
  <c r="H44" i="1"/>
  <c r="H46" i="1"/>
  <c r="H48" i="1"/>
  <c r="H50" i="1"/>
  <c r="H52" i="1"/>
  <c r="H54" i="1"/>
  <c r="H56" i="1"/>
  <c r="H58" i="1"/>
  <c r="H60" i="1"/>
  <c r="H62" i="1"/>
  <c r="H64" i="1"/>
  <c r="H66" i="1"/>
  <c r="H68" i="1"/>
  <c r="H70" i="1"/>
  <c r="H72" i="1"/>
  <c r="H74" i="1"/>
  <c r="H76" i="1"/>
  <c r="K6" i="1"/>
  <c r="K8" i="1"/>
  <c r="K10" i="1"/>
  <c r="K12" i="1"/>
  <c r="K14" i="1"/>
  <c r="K16" i="1"/>
  <c r="K18" i="1"/>
  <c r="K20" i="1"/>
  <c r="K22" i="1"/>
  <c r="K24" i="1"/>
  <c r="K26" i="1"/>
  <c r="K28" i="1"/>
  <c r="K30" i="1"/>
  <c r="K32" i="1"/>
  <c r="K34" i="1"/>
  <c r="K36" i="1"/>
  <c r="K38" i="1"/>
  <c r="K40" i="1"/>
  <c r="K42" i="1"/>
  <c r="K44" i="1"/>
  <c r="K46" i="1"/>
  <c r="K48" i="1"/>
  <c r="K50" i="1"/>
  <c r="K52" i="1"/>
  <c r="K54" i="1"/>
  <c r="K56" i="1"/>
  <c r="K58" i="1"/>
  <c r="K60" i="1"/>
  <c r="K62" i="1"/>
  <c r="K64" i="1"/>
  <c r="K66" i="1"/>
  <c r="K68" i="1"/>
  <c r="K70" i="1"/>
  <c r="K72" i="1"/>
  <c r="K74" i="1"/>
  <c r="K76" i="1"/>
  <c r="N6" i="1"/>
  <c r="N8" i="1"/>
  <c r="N10" i="1"/>
  <c r="N12" i="1"/>
  <c r="N14" i="1"/>
  <c r="N16" i="1"/>
  <c r="N18" i="1"/>
  <c r="N20" i="1"/>
  <c r="N22" i="1"/>
  <c r="N24" i="1"/>
  <c r="N26" i="1"/>
  <c r="N28" i="1"/>
  <c r="N30" i="1"/>
  <c r="N32" i="1"/>
  <c r="N34" i="1"/>
  <c r="N36" i="1"/>
  <c r="N38" i="1"/>
  <c r="N40" i="1"/>
  <c r="N42" i="1"/>
  <c r="N44" i="1"/>
  <c r="N46" i="1"/>
  <c r="N48" i="1"/>
  <c r="N50" i="1"/>
  <c r="N52" i="1"/>
  <c r="N54" i="1"/>
  <c r="N56" i="1"/>
  <c r="N58" i="1"/>
  <c r="N60" i="1"/>
  <c r="N62" i="1"/>
  <c r="N64" i="1"/>
  <c r="N66" i="1"/>
  <c r="N68" i="1"/>
  <c r="N70" i="1"/>
  <c r="N72" i="1"/>
  <c r="N74" i="1"/>
  <c r="N76" i="1"/>
  <c r="H5" i="1"/>
  <c r="H7" i="1"/>
  <c r="H9" i="1"/>
  <c r="H11" i="1"/>
  <c r="H13" i="1"/>
  <c r="H15" i="1"/>
  <c r="H17" i="1"/>
  <c r="H19" i="1"/>
  <c r="H21" i="1"/>
  <c r="H23" i="1"/>
  <c r="H25" i="1"/>
  <c r="H27" i="1"/>
  <c r="H29" i="1"/>
  <c r="H31" i="1"/>
  <c r="H33" i="1"/>
  <c r="H35" i="1"/>
  <c r="H37" i="1"/>
  <c r="H39" i="1"/>
  <c r="H56" i="3"/>
  <c r="H41" i="1"/>
  <c r="H43" i="1"/>
  <c r="H45" i="1"/>
  <c r="H47" i="1"/>
  <c r="H49" i="1"/>
  <c r="H51" i="1"/>
  <c r="H53" i="1"/>
  <c r="H55" i="1"/>
  <c r="H57" i="1"/>
  <c r="H59" i="1"/>
  <c r="H61" i="1"/>
  <c r="H63" i="1"/>
  <c r="H65" i="1"/>
  <c r="H67" i="1"/>
  <c r="H69" i="1"/>
  <c r="H71" i="1"/>
  <c r="H73" i="1"/>
  <c r="H75" i="1"/>
  <c r="K5" i="1"/>
  <c r="K7" i="1"/>
  <c r="K9" i="1"/>
  <c r="K11" i="1"/>
  <c r="K13" i="1"/>
  <c r="K15" i="1"/>
  <c r="K17" i="1"/>
  <c r="K19" i="1"/>
  <c r="K21" i="1"/>
  <c r="K23" i="1"/>
  <c r="K25" i="1"/>
  <c r="K27" i="1"/>
  <c r="K29" i="1"/>
  <c r="K31" i="1"/>
  <c r="K33" i="1"/>
  <c r="K35" i="1"/>
  <c r="K37" i="1"/>
  <c r="K39" i="1"/>
  <c r="K41" i="1"/>
  <c r="K43" i="1"/>
  <c r="K45" i="1"/>
  <c r="K47" i="1"/>
  <c r="K49" i="1"/>
  <c r="K51" i="1"/>
  <c r="K53" i="1"/>
  <c r="K55" i="1"/>
  <c r="K57" i="1"/>
  <c r="K59" i="1"/>
  <c r="K61" i="1"/>
  <c r="K63" i="1"/>
  <c r="K65" i="1"/>
  <c r="K67" i="1"/>
  <c r="K69" i="1"/>
  <c r="K71" i="1"/>
  <c r="K73" i="1"/>
  <c r="K75" i="1"/>
  <c r="N5" i="1"/>
  <c r="N7" i="1"/>
  <c r="N9" i="1"/>
  <c r="N11" i="1"/>
  <c r="N13" i="1"/>
  <c r="N15" i="1"/>
  <c r="N17" i="1"/>
  <c r="N19" i="1"/>
  <c r="N21" i="1"/>
  <c r="N23" i="1"/>
  <c r="N25" i="1"/>
  <c r="N27" i="1"/>
  <c r="N29" i="1"/>
  <c r="N31" i="1"/>
  <c r="N33" i="1"/>
  <c r="N35" i="1"/>
  <c r="N37" i="1"/>
  <c r="N39" i="1"/>
  <c r="N41" i="1"/>
  <c r="N43" i="1"/>
  <c r="N45" i="1"/>
  <c r="N47" i="1"/>
  <c r="N49" i="1"/>
  <c r="N51" i="1"/>
  <c r="N53" i="1"/>
  <c r="N55" i="1"/>
  <c r="N57" i="1"/>
  <c r="N59" i="1"/>
  <c r="N61" i="1"/>
  <c r="N63" i="1"/>
  <c r="N65" i="1"/>
  <c r="N67" i="1"/>
  <c r="N69" i="1"/>
  <c r="N71" i="1"/>
  <c r="N73" i="1"/>
  <c r="N75" i="1"/>
  <c r="H67" i="3" l="1"/>
  <c r="H24" i="3"/>
  <c r="H34" i="3"/>
  <c r="H32" i="3"/>
  <c r="H30" i="3"/>
  <c r="H28" i="3"/>
  <c r="H26" i="3"/>
  <c r="D34" i="3"/>
  <c r="D32" i="3"/>
  <c r="D30" i="3"/>
  <c r="D28" i="3"/>
  <c r="D26" i="3"/>
  <c r="I56" i="3"/>
  <c r="H66" i="3"/>
  <c r="I64" i="3"/>
  <c r="H62" i="3"/>
  <c r="I60" i="3"/>
  <c r="H58" i="3"/>
  <c r="D66" i="3"/>
  <c r="D64" i="3"/>
  <c r="D62" i="3"/>
  <c r="D60" i="3"/>
  <c r="D58" i="3"/>
  <c r="H25" i="3"/>
  <c r="H35" i="3"/>
  <c r="H33" i="3"/>
  <c r="H31" i="3"/>
  <c r="H29" i="3"/>
  <c r="H27" i="3"/>
  <c r="D35" i="3"/>
  <c r="D33" i="3"/>
  <c r="D31" i="3"/>
  <c r="D29" i="3"/>
  <c r="D27" i="3"/>
  <c r="D25" i="3"/>
  <c r="I57" i="3"/>
  <c r="I67" i="3"/>
  <c r="I65" i="3"/>
  <c r="I63" i="3"/>
  <c r="I61" i="3"/>
  <c r="I59" i="3"/>
  <c r="D67" i="3"/>
  <c r="D65" i="3"/>
  <c r="D63" i="3"/>
  <c r="D61" i="3"/>
  <c r="D59" i="3"/>
  <c r="D57" i="3"/>
  <c r="E56" i="3"/>
  <c r="E24" i="3"/>
  <c r="D24" i="3"/>
  <c r="D56" i="3"/>
  <c r="I24" i="3"/>
  <c r="I34" i="3"/>
  <c r="I32" i="3"/>
  <c r="I30" i="3"/>
  <c r="I28" i="3"/>
  <c r="I26" i="3"/>
  <c r="E34" i="3"/>
  <c r="E32" i="3"/>
  <c r="E30" i="3"/>
  <c r="E28" i="3"/>
  <c r="E26" i="3"/>
  <c r="I66" i="3"/>
  <c r="H64" i="3"/>
  <c r="I62" i="3"/>
  <c r="H60" i="3"/>
  <c r="I58" i="3"/>
  <c r="E66" i="3"/>
  <c r="E64" i="3"/>
  <c r="E62" i="3"/>
  <c r="E60" i="3"/>
  <c r="E58" i="3"/>
  <c r="I25" i="3"/>
  <c r="I35" i="3"/>
  <c r="I33" i="3"/>
  <c r="I31" i="3"/>
  <c r="I29" i="3"/>
  <c r="I27" i="3"/>
  <c r="E35" i="3"/>
  <c r="E33" i="3"/>
  <c r="E31" i="3"/>
  <c r="E29" i="3"/>
  <c r="E27" i="3"/>
  <c r="E25" i="3"/>
  <c r="H57" i="3"/>
  <c r="H65" i="3"/>
  <c r="H63" i="3"/>
  <c r="H61" i="3"/>
  <c r="H59" i="3"/>
  <c r="E67" i="3"/>
  <c r="E65" i="3"/>
  <c r="E63" i="3"/>
  <c r="E61" i="3"/>
  <c r="E59" i="3"/>
  <c r="E57" i="3"/>
  <c r="O75" i="1"/>
  <c r="P75" i="1"/>
  <c r="O73" i="1"/>
  <c r="P73" i="1"/>
  <c r="O71" i="1"/>
  <c r="P71" i="1"/>
  <c r="O69" i="1"/>
  <c r="P69" i="1"/>
  <c r="O67" i="1"/>
  <c r="P67" i="1"/>
  <c r="O65" i="1"/>
  <c r="P65" i="1"/>
  <c r="O63" i="1"/>
  <c r="P63" i="1"/>
  <c r="O61" i="1"/>
  <c r="P61" i="1"/>
  <c r="O59" i="1"/>
  <c r="P59" i="1"/>
  <c r="O57" i="1"/>
  <c r="P57" i="1"/>
  <c r="O55" i="1"/>
  <c r="P55" i="1"/>
  <c r="O53" i="1"/>
  <c r="P53" i="1"/>
  <c r="O51" i="1"/>
  <c r="P51" i="1"/>
  <c r="O49" i="1"/>
  <c r="P49" i="1"/>
  <c r="O47" i="1"/>
  <c r="P47" i="1"/>
  <c r="O45" i="1"/>
  <c r="P45" i="1"/>
  <c r="O43" i="1"/>
  <c r="P43" i="1"/>
  <c r="O41" i="1"/>
  <c r="P41" i="1"/>
  <c r="O39" i="1"/>
  <c r="P39" i="1"/>
  <c r="O37" i="1"/>
  <c r="P37" i="1"/>
  <c r="O35" i="1"/>
  <c r="P35" i="1"/>
  <c r="O33" i="1"/>
  <c r="P33" i="1"/>
  <c r="O31" i="1"/>
  <c r="P31" i="1"/>
  <c r="O29" i="1"/>
  <c r="P29" i="1"/>
  <c r="O27" i="1"/>
  <c r="P27" i="1"/>
  <c r="O25" i="1"/>
  <c r="P25" i="1"/>
  <c r="O23" i="1"/>
  <c r="P23" i="1"/>
  <c r="O21" i="1"/>
  <c r="P21" i="1"/>
  <c r="O19" i="1"/>
  <c r="P19" i="1"/>
  <c r="O17" i="1"/>
  <c r="P17" i="1"/>
  <c r="O15" i="1"/>
  <c r="P15" i="1"/>
  <c r="O13" i="1"/>
  <c r="P13" i="1"/>
  <c r="O11" i="1"/>
  <c r="P11" i="1"/>
  <c r="O9" i="1"/>
  <c r="P9" i="1"/>
  <c r="O7" i="1"/>
  <c r="P7" i="1"/>
  <c r="P5" i="1"/>
  <c r="O5" i="1"/>
  <c r="L75" i="1"/>
  <c r="M75" i="1"/>
  <c r="L73" i="1"/>
  <c r="M73" i="1"/>
  <c r="L71" i="1"/>
  <c r="M71" i="1"/>
  <c r="L69" i="1"/>
  <c r="M69" i="1"/>
  <c r="L67" i="1"/>
  <c r="M67" i="1"/>
  <c r="L65" i="1"/>
  <c r="M65" i="1"/>
  <c r="L63" i="1"/>
  <c r="M63" i="1"/>
  <c r="L61" i="1"/>
  <c r="M61" i="1"/>
  <c r="L59" i="1"/>
  <c r="M59" i="1"/>
  <c r="L57" i="1"/>
  <c r="M57" i="1"/>
  <c r="L55" i="1"/>
  <c r="M55" i="1"/>
  <c r="L53" i="1"/>
  <c r="M53" i="1"/>
  <c r="L51" i="1"/>
  <c r="M51" i="1"/>
  <c r="L49" i="1"/>
  <c r="M49" i="1"/>
  <c r="L47" i="1"/>
  <c r="M47" i="1"/>
  <c r="L45" i="1"/>
  <c r="M45" i="1"/>
  <c r="L43" i="1"/>
  <c r="M43" i="1"/>
  <c r="L41" i="1"/>
  <c r="M41" i="1"/>
  <c r="L39" i="1"/>
  <c r="M39" i="1"/>
  <c r="L37" i="1"/>
  <c r="M37" i="1"/>
  <c r="L35" i="1"/>
  <c r="M35" i="1"/>
  <c r="L33" i="1"/>
  <c r="M33" i="1"/>
  <c r="L31" i="1"/>
  <c r="M31" i="1"/>
  <c r="L29" i="1"/>
  <c r="M29" i="1"/>
  <c r="L27" i="1"/>
  <c r="M27" i="1"/>
  <c r="L25" i="1"/>
  <c r="M25" i="1"/>
  <c r="L23" i="1"/>
  <c r="M23" i="1"/>
  <c r="L21" i="1"/>
  <c r="M21" i="1"/>
  <c r="L19" i="1"/>
  <c r="M19" i="1"/>
  <c r="L17" i="1"/>
  <c r="M17" i="1"/>
  <c r="L15" i="1"/>
  <c r="M15" i="1"/>
  <c r="L13" i="1"/>
  <c r="M13" i="1"/>
  <c r="L11" i="1"/>
  <c r="M11" i="1"/>
  <c r="L9" i="1"/>
  <c r="M9" i="1"/>
  <c r="L7" i="1"/>
  <c r="M7" i="1"/>
  <c r="L5" i="1"/>
  <c r="M5" i="1"/>
  <c r="I75" i="1"/>
  <c r="Q75" i="1"/>
  <c r="J75" i="1"/>
  <c r="I73" i="1"/>
  <c r="J73" i="1"/>
  <c r="Q73" i="1"/>
  <c r="I71" i="1"/>
  <c r="J71" i="1"/>
  <c r="Q71" i="1"/>
  <c r="I69" i="1"/>
  <c r="J69" i="1"/>
  <c r="Q69" i="1"/>
  <c r="I67" i="1"/>
  <c r="J67" i="1"/>
  <c r="Q67" i="1"/>
  <c r="I65" i="1"/>
  <c r="J65" i="1"/>
  <c r="Q65" i="1"/>
  <c r="I63" i="1"/>
  <c r="J63" i="1"/>
  <c r="Q63" i="1"/>
  <c r="I61" i="1"/>
  <c r="Q61" i="1"/>
  <c r="J61" i="1"/>
  <c r="I59" i="1"/>
  <c r="Q59" i="1"/>
  <c r="J59" i="1"/>
  <c r="I57" i="1"/>
  <c r="Q57" i="1"/>
  <c r="J57" i="1"/>
  <c r="I55" i="1"/>
  <c r="J55" i="1"/>
  <c r="Q55" i="1"/>
  <c r="I53" i="1"/>
  <c r="Q53" i="1"/>
  <c r="J53" i="1"/>
  <c r="I51" i="1"/>
  <c r="Q51" i="1"/>
  <c r="J51" i="1"/>
  <c r="I49" i="1"/>
  <c r="Q49" i="1"/>
  <c r="J49" i="1"/>
  <c r="I47" i="1"/>
  <c r="Q47" i="1"/>
  <c r="J47" i="1"/>
  <c r="I45" i="1"/>
  <c r="Q45" i="1"/>
  <c r="J45" i="1"/>
  <c r="I43" i="1"/>
  <c r="Q43" i="1"/>
  <c r="J43" i="1"/>
  <c r="I41" i="1"/>
  <c r="Q41" i="1"/>
  <c r="J41" i="1"/>
  <c r="I39" i="1"/>
  <c r="Q39" i="1"/>
  <c r="J39" i="1"/>
  <c r="I37" i="1"/>
  <c r="Q37" i="1"/>
  <c r="J37" i="1"/>
  <c r="I35" i="1"/>
  <c r="Q35" i="1"/>
  <c r="J35" i="1"/>
  <c r="Q33" i="1"/>
  <c r="J33" i="1"/>
  <c r="I33" i="1"/>
  <c r="I31" i="1"/>
  <c r="Q31" i="1"/>
  <c r="J31" i="1"/>
  <c r="Q29" i="1"/>
  <c r="I29" i="1"/>
  <c r="J29" i="1"/>
  <c r="I27" i="1"/>
  <c r="Q27" i="1"/>
  <c r="J27" i="1"/>
  <c r="Q25" i="1"/>
  <c r="I25" i="1"/>
  <c r="J25" i="1"/>
  <c r="I23" i="1"/>
  <c r="Q23" i="1"/>
  <c r="J23" i="1"/>
  <c r="I21" i="1"/>
  <c r="Q21" i="1"/>
  <c r="J21" i="1"/>
  <c r="I19" i="1"/>
  <c r="Q19" i="1"/>
  <c r="J19" i="1"/>
  <c r="I17" i="1"/>
  <c r="Q17" i="1"/>
  <c r="J17" i="1"/>
  <c r="I15" i="1"/>
  <c r="Q15" i="1"/>
  <c r="J15" i="1"/>
  <c r="I13" i="1"/>
  <c r="Q13" i="1"/>
  <c r="J13" i="1"/>
  <c r="I11" i="1"/>
  <c r="Q11" i="1"/>
  <c r="J11" i="1"/>
  <c r="I9" i="1"/>
  <c r="Q9" i="1"/>
  <c r="J9" i="1"/>
  <c r="I7" i="1"/>
  <c r="Q7" i="1"/>
  <c r="J7" i="1"/>
  <c r="J5" i="1"/>
  <c r="Q5" i="1"/>
  <c r="I5" i="1"/>
  <c r="O76" i="1"/>
  <c r="P76" i="1"/>
  <c r="O74" i="1"/>
  <c r="P74" i="1"/>
  <c r="O72" i="1"/>
  <c r="P72" i="1"/>
  <c r="O70" i="1"/>
  <c r="P70" i="1"/>
  <c r="O68" i="1"/>
  <c r="P68" i="1"/>
  <c r="O66" i="1"/>
  <c r="P66" i="1"/>
  <c r="O64" i="1"/>
  <c r="P64" i="1"/>
  <c r="O62" i="1"/>
  <c r="P62" i="1"/>
  <c r="O60" i="1"/>
  <c r="P60" i="1"/>
  <c r="O58" i="1"/>
  <c r="P58" i="1"/>
  <c r="O56" i="1"/>
  <c r="P56" i="1"/>
  <c r="O54" i="1"/>
  <c r="P54" i="1"/>
  <c r="P52" i="1"/>
  <c r="O52" i="1"/>
  <c r="P50" i="1"/>
  <c r="O50" i="1"/>
  <c r="P48" i="1"/>
  <c r="O48" i="1"/>
  <c r="P46" i="1"/>
  <c r="O46" i="1"/>
  <c r="O44" i="1"/>
  <c r="P44" i="1"/>
  <c r="O42" i="1"/>
  <c r="P42" i="1"/>
  <c r="O40" i="1"/>
  <c r="P40" i="1"/>
  <c r="O38" i="1"/>
  <c r="P38" i="1"/>
  <c r="O36" i="1"/>
  <c r="P36" i="1"/>
  <c r="O34" i="1"/>
  <c r="P34" i="1"/>
  <c r="O32" i="1"/>
  <c r="P32" i="1"/>
  <c r="O30" i="1"/>
  <c r="P30" i="1"/>
  <c r="O28" i="1"/>
  <c r="P28" i="1"/>
  <c r="O26" i="1"/>
  <c r="P26" i="1"/>
  <c r="O24" i="1"/>
  <c r="P24" i="1"/>
  <c r="O22" i="1"/>
  <c r="P22" i="1"/>
  <c r="O20" i="1"/>
  <c r="P20" i="1"/>
  <c r="P18" i="1"/>
  <c r="O18" i="1"/>
  <c r="O16" i="1"/>
  <c r="P16" i="1"/>
  <c r="P14" i="1"/>
  <c r="O14" i="1"/>
  <c r="O12" i="1"/>
  <c r="P12" i="1"/>
  <c r="O10" i="1"/>
  <c r="P10" i="1"/>
  <c r="O8" i="1"/>
  <c r="P8" i="1"/>
  <c r="P6" i="1"/>
  <c r="O6" i="1"/>
  <c r="L76" i="1"/>
  <c r="M76" i="1"/>
  <c r="L74" i="1"/>
  <c r="M74" i="1"/>
  <c r="L72" i="1"/>
  <c r="M72" i="1"/>
  <c r="L70" i="1"/>
  <c r="M70" i="1"/>
  <c r="L68" i="1"/>
  <c r="M68" i="1"/>
  <c r="L66" i="1"/>
  <c r="M66" i="1"/>
  <c r="L64" i="1"/>
  <c r="M64" i="1"/>
  <c r="L62" i="1"/>
  <c r="M62" i="1"/>
  <c r="L60" i="1"/>
  <c r="M60" i="1"/>
  <c r="L58" i="1"/>
  <c r="M58" i="1"/>
  <c r="L56" i="1"/>
  <c r="M56" i="1"/>
  <c r="L54" i="1"/>
  <c r="M54" i="1"/>
  <c r="L52" i="1"/>
  <c r="M52" i="1"/>
  <c r="L50" i="1"/>
  <c r="M50" i="1"/>
  <c r="L48" i="1"/>
  <c r="M48" i="1"/>
  <c r="L46" i="1"/>
  <c r="M46" i="1"/>
  <c r="L44" i="1"/>
  <c r="M44" i="1"/>
  <c r="L42" i="1"/>
  <c r="M42" i="1"/>
  <c r="L40" i="1"/>
  <c r="M40" i="1"/>
  <c r="L38" i="1"/>
  <c r="M38" i="1"/>
  <c r="L36" i="1"/>
  <c r="M36" i="1"/>
  <c r="L34" i="1"/>
  <c r="M34" i="1"/>
  <c r="L32" i="1"/>
  <c r="M32" i="1"/>
  <c r="L30" i="1"/>
  <c r="M30" i="1"/>
  <c r="L28" i="1"/>
  <c r="M28" i="1"/>
  <c r="L26" i="1"/>
  <c r="M26" i="1"/>
  <c r="L24" i="1"/>
  <c r="M24" i="1"/>
  <c r="L22" i="1"/>
  <c r="M22" i="1"/>
  <c r="L20" i="1"/>
  <c r="M20" i="1"/>
  <c r="L18" i="1"/>
  <c r="M18" i="1"/>
  <c r="L16" i="1"/>
  <c r="M16" i="1"/>
  <c r="L14" i="1"/>
  <c r="M14" i="1"/>
  <c r="L12" i="1"/>
  <c r="M12" i="1"/>
  <c r="L10" i="1"/>
  <c r="M10" i="1"/>
  <c r="L8" i="1"/>
  <c r="M8" i="1"/>
  <c r="L6" i="1"/>
  <c r="M6" i="1"/>
  <c r="Q76" i="1"/>
  <c r="I76" i="1"/>
  <c r="J76" i="1"/>
  <c r="I74" i="1"/>
  <c r="Q74" i="1"/>
  <c r="J74" i="1"/>
  <c r="I72" i="1"/>
  <c r="Q72" i="1"/>
  <c r="J72" i="1"/>
  <c r="I70" i="1"/>
  <c r="Q70" i="1"/>
  <c r="J70" i="1"/>
  <c r="I68" i="1"/>
  <c r="Q68" i="1"/>
  <c r="J68" i="1"/>
  <c r="I66" i="1"/>
  <c r="Q66" i="1"/>
  <c r="J66" i="1"/>
  <c r="I64" i="1"/>
  <c r="Q64" i="1"/>
  <c r="J64" i="1"/>
  <c r="I62" i="1"/>
  <c r="Q62" i="1"/>
  <c r="J62" i="1"/>
  <c r="I60" i="1"/>
  <c r="Q60" i="1"/>
  <c r="J60" i="1"/>
  <c r="I58" i="1"/>
  <c r="Q58" i="1"/>
  <c r="J58" i="1"/>
  <c r="I56" i="1"/>
  <c r="Q56" i="1"/>
  <c r="J56" i="1"/>
  <c r="Q54" i="1"/>
  <c r="J54" i="1"/>
  <c r="I54" i="1"/>
  <c r="Q52" i="1"/>
  <c r="J52" i="1"/>
  <c r="I52" i="1"/>
  <c r="Q50" i="1"/>
  <c r="J50" i="1"/>
  <c r="I50" i="1"/>
  <c r="Q48" i="1"/>
  <c r="J48" i="1"/>
  <c r="I48" i="1"/>
  <c r="Q46" i="1"/>
  <c r="J46" i="1"/>
  <c r="I46" i="1"/>
  <c r="I44" i="1"/>
  <c r="Q44" i="1"/>
  <c r="J44" i="1"/>
  <c r="I42" i="1"/>
  <c r="J42" i="1"/>
  <c r="Q42" i="1"/>
  <c r="I40" i="1"/>
  <c r="J40" i="1"/>
  <c r="Q40" i="1"/>
  <c r="I38" i="1"/>
  <c r="Q38" i="1"/>
  <c r="J38" i="1"/>
  <c r="I36" i="1"/>
  <c r="Q36" i="1"/>
  <c r="J36" i="1"/>
  <c r="I34" i="1"/>
  <c r="Q34" i="1"/>
  <c r="J34" i="1"/>
  <c r="I32" i="1"/>
  <c r="Q32" i="1"/>
  <c r="J32" i="1"/>
  <c r="I30" i="1"/>
  <c r="Q30" i="1"/>
  <c r="J30" i="1"/>
  <c r="I28" i="1"/>
  <c r="Q28" i="1"/>
  <c r="J28" i="1"/>
  <c r="Q26" i="1"/>
  <c r="I26" i="1"/>
  <c r="J26" i="1"/>
  <c r="I24" i="1"/>
  <c r="Q24" i="1"/>
  <c r="J24" i="1"/>
  <c r="I22" i="1"/>
  <c r="Q22" i="1"/>
  <c r="J22" i="1"/>
  <c r="I20" i="1"/>
  <c r="Q20" i="1"/>
  <c r="J20" i="1"/>
  <c r="I18" i="1"/>
  <c r="Q18" i="1"/>
  <c r="J18" i="1"/>
  <c r="I16" i="1"/>
  <c r="Q16" i="1"/>
  <c r="J16" i="1"/>
  <c r="I14" i="1"/>
  <c r="Q14" i="1"/>
  <c r="J14" i="1"/>
  <c r="I12" i="1"/>
  <c r="Q12" i="1"/>
  <c r="J12" i="1"/>
  <c r="J10" i="1"/>
  <c r="I10" i="1"/>
  <c r="Q10" i="1"/>
  <c r="J8" i="1"/>
  <c r="I8" i="1"/>
  <c r="Q8" i="1"/>
  <c r="J6" i="1"/>
  <c r="I6" i="1"/>
  <c r="Q6" i="1"/>
  <c r="H40" i="3"/>
  <c r="I40" i="3"/>
  <c r="H50" i="3"/>
  <c r="I50" i="3"/>
  <c r="H48" i="3"/>
  <c r="I48" i="3"/>
  <c r="H46" i="3"/>
  <c r="I46" i="3"/>
  <c r="H44" i="3"/>
  <c r="I44" i="3"/>
  <c r="H41" i="3"/>
  <c r="I41" i="3"/>
  <c r="H51" i="3"/>
  <c r="I51" i="3"/>
  <c r="H49" i="3"/>
  <c r="I49" i="3"/>
  <c r="H47" i="3"/>
  <c r="I47" i="3"/>
  <c r="H45" i="3"/>
  <c r="I45" i="3"/>
  <c r="H43" i="3"/>
  <c r="I43" i="3"/>
  <c r="D41" i="3"/>
  <c r="E41" i="3" l="1"/>
  <c r="D43" i="3"/>
  <c r="D45" i="3"/>
  <c r="D47" i="3"/>
  <c r="D49" i="3"/>
  <c r="D51" i="3"/>
  <c r="D42" i="3"/>
  <c r="D44" i="3"/>
  <c r="D46" i="3"/>
  <c r="D48" i="3"/>
  <c r="D50" i="3"/>
  <c r="H42" i="3"/>
  <c r="E40" i="3"/>
  <c r="E43" i="3"/>
  <c r="E45" i="3"/>
  <c r="E47" i="3"/>
  <c r="E49" i="3"/>
  <c r="E51" i="3"/>
  <c r="E42" i="3"/>
  <c r="E44" i="3"/>
  <c r="E46" i="3"/>
  <c r="E48" i="3"/>
  <c r="E50" i="3"/>
  <c r="I42" i="3"/>
  <c r="D40" i="3"/>
  <c r="D11" i="3"/>
  <c r="D12" i="3"/>
  <c r="D16" i="3"/>
  <c r="R6" i="1"/>
  <c r="S6" i="1"/>
  <c r="S10" i="1"/>
  <c r="R10" i="1"/>
  <c r="S12" i="1"/>
  <c r="R12" i="1"/>
  <c r="S16" i="1"/>
  <c r="R16" i="1"/>
  <c r="R20" i="1"/>
  <c r="S20" i="1"/>
  <c r="R24" i="1"/>
  <c r="S24" i="1"/>
  <c r="S26" i="1"/>
  <c r="R26" i="1"/>
  <c r="S28" i="1"/>
  <c r="R28" i="1"/>
  <c r="R32" i="1"/>
  <c r="S32" i="1"/>
  <c r="R36" i="1"/>
  <c r="S36" i="1"/>
  <c r="R42" i="1"/>
  <c r="S42" i="1"/>
  <c r="S44" i="1"/>
  <c r="R44" i="1"/>
  <c r="S46" i="1"/>
  <c r="R46" i="1"/>
  <c r="R50" i="1"/>
  <c r="S50" i="1"/>
  <c r="R54" i="1"/>
  <c r="S54" i="1"/>
  <c r="S56" i="1"/>
  <c r="R56" i="1"/>
  <c r="S60" i="1"/>
  <c r="R60" i="1"/>
  <c r="S64" i="1"/>
  <c r="R64" i="1"/>
  <c r="S68" i="1"/>
  <c r="R68" i="1"/>
  <c r="R72" i="1"/>
  <c r="S72" i="1"/>
  <c r="S7" i="1"/>
  <c r="R7" i="1"/>
  <c r="R11" i="1"/>
  <c r="S11" i="1"/>
  <c r="R15" i="1"/>
  <c r="S15" i="1"/>
  <c r="S19" i="1"/>
  <c r="R19" i="1"/>
  <c r="R23" i="1"/>
  <c r="S23" i="1"/>
  <c r="S25" i="1"/>
  <c r="R25" i="1"/>
  <c r="S27" i="1"/>
  <c r="R27" i="1"/>
  <c r="S29" i="1"/>
  <c r="R29" i="1"/>
  <c r="S31" i="1"/>
  <c r="R31" i="1"/>
  <c r="R33" i="1"/>
  <c r="S33" i="1"/>
  <c r="R35" i="1"/>
  <c r="S35" i="1"/>
  <c r="R39" i="1"/>
  <c r="S39" i="1"/>
  <c r="S43" i="1"/>
  <c r="R43" i="1"/>
  <c r="S47" i="1"/>
  <c r="R47" i="1"/>
  <c r="R51" i="1"/>
  <c r="S51" i="1"/>
  <c r="S59" i="1"/>
  <c r="R59" i="1"/>
  <c r="S65" i="1"/>
  <c r="R65" i="1"/>
  <c r="R69" i="1"/>
  <c r="S69" i="1"/>
  <c r="S73" i="1"/>
  <c r="R73" i="1"/>
  <c r="S75" i="1"/>
  <c r="R75" i="1"/>
  <c r="E10" i="3"/>
  <c r="E14" i="3"/>
  <c r="D18" i="3"/>
  <c r="E18" i="3"/>
  <c r="R8" i="1"/>
  <c r="S8" i="1"/>
  <c r="R14" i="1"/>
  <c r="S14" i="1"/>
  <c r="S18" i="1"/>
  <c r="R18" i="1"/>
  <c r="S22" i="1"/>
  <c r="R22" i="1"/>
  <c r="R30" i="1"/>
  <c r="S30" i="1"/>
  <c r="S34" i="1"/>
  <c r="R34" i="1"/>
  <c r="R38" i="1"/>
  <c r="S38" i="1"/>
  <c r="R40" i="1"/>
  <c r="S40" i="1"/>
  <c r="R48" i="1"/>
  <c r="S48" i="1"/>
  <c r="R52" i="1"/>
  <c r="S52" i="1"/>
  <c r="S58" i="1"/>
  <c r="R58" i="1"/>
  <c r="S62" i="1"/>
  <c r="R62" i="1"/>
  <c r="S66" i="1"/>
  <c r="R66" i="1"/>
  <c r="S70" i="1"/>
  <c r="R70" i="1"/>
  <c r="S74" i="1"/>
  <c r="R74" i="1"/>
  <c r="S76" i="1"/>
  <c r="R76" i="1"/>
  <c r="S5" i="1"/>
  <c r="R5" i="1"/>
  <c r="R9" i="1"/>
  <c r="S9" i="1"/>
  <c r="S13" i="1"/>
  <c r="R13" i="1"/>
  <c r="R17" i="1"/>
  <c r="S17" i="1"/>
  <c r="S21" i="1"/>
  <c r="R21" i="1"/>
  <c r="R37" i="1"/>
  <c r="S37" i="1"/>
  <c r="R41" i="1"/>
  <c r="S41" i="1"/>
  <c r="S45" i="1"/>
  <c r="R45" i="1"/>
  <c r="S49" i="1"/>
  <c r="R49" i="1"/>
  <c r="R53" i="1"/>
  <c r="S53" i="1"/>
  <c r="R55" i="1"/>
  <c r="S55" i="1"/>
  <c r="S57" i="1"/>
  <c r="R57" i="1"/>
  <c r="S61" i="1"/>
  <c r="R61" i="1"/>
  <c r="S63" i="1"/>
  <c r="R63" i="1"/>
  <c r="S67" i="1"/>
  <c r="R67" i="1"/>
  <c r="R71" i="1"/>
  <c r="S71" i="1"/>
  <c r="Y8" i="1" l="1"/>
  <c r="I18" i="3"/>
  <c r="I14" i="3"/>
  <c r="I10" i="3"/>
  <c r="D14" i="3"/>
  <c r="D10" i="3"/>
  <c r="H9" i="3"/>
  <c r="H17" i="3"/>
  <c r="H13" i="3"/>
  <c r="D17" i="3"/>
  <c r="D13" i="3"/>
  <c r="D9" i="3"/>
  <c r="H8" i="3"/>
  <c r="H16" i="3"/>
  <c r="H12" i="3"/>
  <c r="D8" i="3"/>
  <c r="E16" i="3"/>
  <c r="E12" i="3"/>
  <c r="I19" i="3"/>
  <c r="I15" i="3"/>
  <c r="I11" i="3"/>
  <c r="E19" i="3"/>
  <c r="E15" i="3"/>
  <c r="E11" i="3"/>
  <c r="H18" i="3"/>
  <c r="H14" i="3"/>
  <c r="H10" i="3"/>
  <c r="I9" i="3"/>
  <c r="I17" i="3"/>
  <c r="I13" i="3"/>
  <c r="E17" i="3"/>
  <c r="E13" i="3"/>
  <c r="E9" i="3"/>
  <c r="I8" i="3"/>
  <c r="I16" i="3"/>
  <c r="I12" i="3"/>
  <c r="E8" i="3"/>
  <c r="H19" i="3"/>
  <c r="H15" i="3"/>
  <c r="H11" i="3"/>
  <c r="D19" i="3"/>
  <c r="D15" i="3"/>
  <c r="Y5" i="1"/>
  <c r="AV71" i="1"/>
  <c r="AV55" i="1"/>
  <c r="AI9" i="1"/>
  <c r="AV53" i="1"/>
  <c r="AV41" i="1"/>
  <c r="AI8" i="1"/>
  <c r="AV37" i="1"/>
  <c r="AI6" i="1"/>
  <c r="AV17" i="1"/>
  <c r="Y13" i="1"/>
  <c r="AV9" i="1"/>
  <c r="Z9" i="1"/>
  <c r="AV52" i="1"/>
  <c r="AV48" i="1"/>
  <c r="AV40" i="1"/>
  <c r="AV38" i="1"/>
  <c r="AV30" i="1"/>
  <c r="Z14" i="1"/>
  <c r="AV14" i="1"/>
  <c r="AV8" i="1"/>
  <c r="Z8" i="1"/>
  <c r="AV69" i="1"/>
  <c r="AV51" i="1"/>
  <c r="AV39" i="1"/>
  <c r="AV35" i="1"/>
  <c r="BL58" i="1" s="1"/>
  <c r="AV33" i="1"/>
  <c r="AV23" i="1"/>
  <c r="Z15" i="1"/>
  <c r="AV15" i="1"/>
  <c r="AV11" i="1"/>
  <c r="Z11" i="1"/>
  <c r="Y7" i="1"/>
  <c r="AV72" i="1"/>
  <c r="AV54" i="1"/>
  <c r="AV50" i="1"/>
  <c r="BL75" i="1" s="1"/>
  <c r="AV42" i="1"/>
  <c r="AV36" i="1"/>
  <c r="AV32" i="1"/>
  <c r="AV24" i="1"/>
  <c r="AV20" i="1"/>
  <c r="Y16" i="1"/>
  <c r="Y12" i="1"/>
  <c r="Y10" i="1"/>
  <c r="AV6" i="1"/>
  <c r="Z6" i="1"/>
  <c r="AV67" i="1"/>
  <c r="AV63" i="1"/>
  <c r="AV61" i="1"/>
  <c r="AV57" i="1"/>
  <c r="AV49" i="1"/>
  <c r="AV45" i="1"/>
  <c r="AV21" i="1"/>
  <c r="AV13" i="1"/>
  <c r="Z13" i="1"/>
  <c r="Y9" i="1"/>
  <c r="AV5" i="1"/>
  <c r="S78" i="1"/>
  <c r="Z5" i="1"/>
  <c r="AI5" i="1"/>
  <c r="AV76" i="1"/>
  <c r="AV74" i="1"/>
  <c r="AV70" i="1"/>
  <c r="AV66" i="1"/>
  <c r="AV62" i="1"/>
  <c r="AV58" i="1"/>
  <c r="AV34" i="1"/>
  <c r="AV22" i="1"/>
  <c r="AV18" i="1"/>
  <c r="Y14" i="1"/>
  <c r="AV75" i="1"/>
  <c r="AV73" i="1"/>
  <c r="AV65" i="1"/>
  <c r="AI10" i="1"/>
  <c r="AV59" i="1"/>
  <c r="BL60" i="1" s="1"/>
  <c r="AV47" i="1"/>
  <c r="BL59" i="1" s="1"/>
  <c r="AV43" i="1"/>
  <c r="AV31" i="1"/>
  <c r="AV29" i="1"/>
  <c r="AI7" i="1"/>
  <c r="AV27" i="1"/>
  <c r="AV25" i="1"/>
  <c r="AV19" i="1"/>
  <c r="Y15" i="1"/>
  <c r="Y11" i="1"/>
  <c r="AV7" i="1"/>
  <c r="Z7" i="1"/>
  <c r="AV68" i="1"/>
  <c r="BL44" i="1" s="1"/>
  <c r="AV64" i="1"/>
  <c r="AV60" i="1"/>
  <c r="AV56" i="1"/>
  <c r="AV46" i="1"/>
  <c r="AV44" i="1"/>
  <c r="AV28" i="1"/>
  <c r="AV26" i="1"/>
  <c r="AV16" i="1"/>
  <c r="Z16" i="1"/>
  <c r="AV12" i="1"/>
  <c r="Z12" i="1"/>
  <c r="Z10" i="1"/>
  <c r="AV10" i="1"/>
  <c r="Y6" i="1"/>
  <c r="BL43" i="1" l="1"/>
  <c r="BL29" i="1"/>
  <c r="BL73" i="1"/>
  <c r="BL42" i="1"/>
  <c r="BL26" i="1"/>
  <c r="BL76" i="1"/>
  <c r="BL41" i="1"/>
  <c r="BL57" i="1"/>
  <c r="BL39" i="1"/>
  <c r="BL77" i="1"/>
  <c r="BL24" i="1"/>
  <c r="BL40" i="1"/>
  <c r="BL56" i="1"/>
  <c r="BL72" i="1"/>
  <c r="BL74" i="1"/>
  <c r="BL25" i="1"/>
  <c r="BL27" i="1"/>
  <c r="BL28" i="1"/>
  <c r="BL61" i="1"/>
</calcChain>
</file>

<file path=xl/comments1.xml><?xml version="1.0" encoding="utf-8"?>
<comments xmlns="http://schemas.openxmlformats.org/spreadsheetml/2006/main">
  <authors>
    <author>Nuno</author>
  </authors>
  <commentList>
    <comment ref="D3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Apenas indicativo! Representa a % de ocupação face à ocupação total (100%)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Apenas indicativo! Representa a % de ocupação por m</t>
        </r>
        <r>
          <rPr>
            <vertAlign val="superscript"/>
            <sz val="9"/>
            <color indexed="81"/>
            <rFont val="Tahoma"/>
            <family val="2"/>
          </rPr>
          <t>2</t>
        </r>
      </text>
    </comment>
    <comment ref="Q3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Ilum&amp;Tom + ACFrio + ACQuente</t>
        </r>
      </text>
    </comment>
    <comment ref="E5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Valor aproximado tendo em consideração a média dos meses de Janeiro e o facto de em Jan-07 ter ocorrido o Dakar.</t>
        </r>
      </text>
    </comment>
    <comment ref="F5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Valor inserido à MÃO!!!</t>
        </r>
      </text>
    </comment>
  </commentList>
</comments>
</file>

<file path=xl/sharedStrings.xml><?xml version="1.0" encoding="utf-8"?>
<sst xmlns="http://schemas.openxmlformats.org/spreadsheetml/2006/main" count="669" uniqueCount="82">
  <si>
    <t>Valores Médios Mensais</t>
  </si>
  <si>
    <t>Análise Anual</t>
  </si>
  <si>
    <t>Análise Sazonal - Estações Ano</t>
  </si>
  <si>
    <t>Ano</t>
  </si>
  <si>
    <t>Mês</t>
  </si>
  <si>
    <t>% Taxa de Ocupação</t>
  </si>
  <si>
    <t>Taxa de Ocup. Efectiva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</si>
  <si>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</si>
  <si>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Taxa de Ocup./m</t>
    </r>
    <r>
      <rPr>
        <vertAlign val="superscript"/>
        <sz val="10"/>
        <color theme="1"/>
        <rFont val="Calibri"/>
        <family val="2"/>
        <scheme val="minor"/>
      </rPr>
      <t>2</t>
    </r>
  </si>
  <si>
    <t>Consumo (Fraccionado)</t>
  </si>
  <si>
    <t>Consumo</t>
  </si>
  <si>
    <t>Consumo / Taxa de Ocup.</t>
  </si>
  <si>
    <r>
      <t>Consumo/m</t>
    </r>
    <r>
      <rPr>
        <vertAlign val="superscript"/>
        <sz val="11"/>
        <color theme="1"/>
        <rFont val="Calibri"/>
        <family val="2"/>
        <scheme val="minor"/>
      </rPr>
      <t>2</t>
    </r>
  </si>
  <si>
    <t>Ilum&amp;tom</t>
  </si>
  <si>
    <t>Cons/T. O.</t>
  </si>
  <si>
    <r>
      <t>Ilum&amp;tom/ m</t>
    </r>
    <r>
      <rPr>
        <vertAlign val="superscript"/>
        <sz val="10"/>
        <color theme="1"/>
        <rFont val="Calibri"/>
        <family val="2"/>
        <scheme val="minor"/>
      </rPr>
      <t>2</t>
    </r>
  </si>
  <si>
    <t>AC Frio</t>
  </si>
  <si>
    <r>
      <t>AC Frio/m</t>
    </r>
    <r>
      <rPr>
        <vertAlign val="superscript"/>
        <sz val="10"/>
        <color theme="1"/>
        <rFont val="Calibri"/>
        <family val="2"/>
        <scheme val="minor"/>
      </rPr>
      <t>2</t>
    </r>
  </si>
  <si>
    <t>AC Quente</t>
  </si>
  <si>
    <r>
      <t>AC Quente/m</t>
    </r>
    <r>
      <rPr>
        <vertAlign val="superscript"/>
        <sz val="10"/>
        <color theme="1"/>
        <rFont val="Calibri"/>
        <family val="2"/>
        <scheme val="minor"/>
      </rPr>
      <t>2</t>
    </r>
  </si>
  <si>
    <t>Cons/T.O.</t>
  </si>
  <si>
    <r>
      <t>Cons./m</t>
    </r>
    <r>
      <rPr>
        <vertAlign val="superscript"/>
        <sz val="11"/>
        <color theme="1"/>
        <rFont val="Calibri"/>
        <family val="2"/>
        <scheme val="minor"/>
      </rPr>
      <t>2</t>
    </r>
  </si>
  <si>
    <t>T.O.E.</t>
  </si>
  <si>
    <t>Jan</t>
  </si>
  <si>
    <t>JAN</t>
  </si>
  <si>
    <t>Fev</t>
  </si>
  <si>
    <t>FEV</t>
  </si>
  <si>
    <t>Mar</t>
  </si>
  <si>
    <t>MAR</t>
  </si>
  <si>
    <t>Abr</t>
  </si>
  <si>
    <t>ABR</t>
  </si>
  <si>
    <t>Mai</t>
  </si>
  <si>
    <t>MAI</t>
  </si>
  <si>
    <t>Jun</t>
  </si>
  <si>
    <t>JUN</t>
  </si>
  <si>
    <t>Jul</t>
  </si>
  <si>
    <t>JUL</t>
  </si>
  <si>
    <t>Ago</t>
  </si>
  <si>
    <t>AGO</t>
  </si>
  <si>
    <t>Set</t>
  </si>
  <si>
    <t>SET</t>
  </si>
  <si>
    <t>Out</t>
  </si>
  <si>
    <t>OUT</t>
  </si>
  <si>
    <t>Nov</t>
  </si>
  <si>
    <t>NOV</t>
  </si>
  <si>
    <t>Dez</t>
  </si>
  <si>
    <t>DEZ</t>
  </si>
  <si>
    <t>MAX</t>
  </si>
  <si>
    <t>MIN</t>
  </si>
  <si>
    <t>Consumos Globais por Módulo (Médias Mensais) - MODULO 1</t>
  </si>
  <si>
    <t>MOD</t>
  </si>
  <si>
    <t>Equip.</t>
  </si>
  <si>
    <t>Ano/Mês</t>
  </si>
  <si>
    <t>MOD_1</t>
  </si>
  <si>
    <t>07</t>
  </si>
  <si>
    <t>08</t>
  </si>
  <si>
    <t>09</t>
  </si>
  <si>
    <t>Consumos Globais por Módulo (Médias Mensais) - MODULO 2</t>
  </si>
  <si>
    <t>MOD_2</t>
  </si>
  <si>
    <t>Consumos Globais por Módulo (Médias Mensais) - MODULO 3</t>
  </si>
  <si>
    <t>MOD_3</t>
  </si>
  <si>
    <t>Consumo Global/Área</t>
  </si>
  <si>
    <t>Consumo AC Frio/Área</t>
  </si>
  <si>
    <t>Consumo AC Quente/Área</t>
  </si>
  <si>
    <t>Consumo Iluminação&amp;Tomadas/Área</t>
  </si>
  <si>
    <t>Comando de Iluminação e AVAC - "Fim de Ocupação" (MAR_2009)</t>
  </si>
  <si>
    <t>Implicação no Consumo Global</t>
  </si>
  <si>
    <t xml:space="preserve"> ANTES</t>
  </si>
  <si>
    <t xml:space="preserve"> DEPOIS</t>
  </si>
  <si>
    <t>07-09</t>
  </si>
  <si>
    <t>10-12</t>
  </si>
  <si>
    <t>07-08</t>
  </si>
  <si>
    <t>09-12</t>
  </si>
  <si>
    <t>Implicação no Consumo AC Frio</t>
  </si>
  <si>
    <t>Implicação no Consumo AC Quente</t>
  </si>
  <si>
    <t>Implicação no Consumo Iluminação&amp;Tomadas</t>
  </si>
  <si>
    <t>Inativação dos Chillers no Inverno (NOV_2011)</t>
  </si>
  <si>
    <t>07-11</t>
  </si>
  <si>
    <t>07-10</t>
  </si>
  <si>
    <t>11-12</t>
  </si>
  <si>
    <t>08-12</t>
  </si>
  <si>
    <r>
      <t>Comando de Iluminação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- "Fim de Ocupação" (ABR_2008)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</si>
</sst>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0.000"/>
    <numFmt numFmtId="165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vertAlign val="superscript"/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0" fillId="0" borderId="0" xfId="0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9" borderId="25" xfId="0" applyFill="1" applyBorder="1" applyAlignment="1" applyProtection="1">
      <alignment horizontal="center" vertical="center"/>
      <protection hidden="1"/>
    </xf>
    <xf numFmtId="0" fontId="0" fillId="9" borderId="26" xfId="0" applyFill="1" applyBorder="1" applyAlignment="1" applyProtection="1">
      <alignment horizontal="center" vertical="center"/>
      <protection hidden="1"/>
    </xf>
    <xf numFmtId="0" fontId="0" fillId="9" borderId="27" xfId="0" applyFill="1" applyBorder="1" applyAlignment="1" applyProtection="1">
      <alignment horizontal="center" vertical="center"/>
      <protection hidden="1"/>
    </xf>
    <xf numFmtId="0" fontId="0" fillId="10" borderId="28" xfId="0" applyFill="1" applyBorder="1" applyAlignment="1" applyProtection="1">
      <alignment horizontal="center" vertical="center"/>
      <protection hidden="1"/>
    </xf>
    <xf numFmtId="3" fontId="0" fillId="0" borderId="26" xfId="0" applyNumberFormat="1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3" fontId="0" fillId="0" borderId="0" xfId="0" applyNumberFormat="1" applyBorder="1" applyProtection="1">
      <protection hidden="1"/>
    </xf>
    <xf numFmtId="0" fontId="0" fillId="0" borderId="2" xfId="0" applyFill="1" applyBorder="1" applyAlignment="1" applyProtection="1">
      <alignment horizontal="center" vertical="center"/>
      <protection hidden="1"/>
    </xf>
    <xf numFmtId="49" fontId="0" fillId="0" borderId="2" xfId="1" applyNumberFormat="1" applyFont="1" applyFill="1" applyBorder="1" applyAlignment="1" applyProtection="1">
      <alignment horizontal="center" vertical="center"/>
      <protection hidden="1"/>
    </xf>
    <xf numFmtId="3" fontId="0" fillId="0" borderId="3" xfId="0" applyNumberFormat="1" applyFill="1" applyBorder="1" applyAlignment="1" applyProtection="1">
      <alignment horizontal="center" vertical="center"/>
      <protection hidden="1"/>
    </xf>
    <xf numFmtId="3" fontId="0" fillId="0" borderId="4" xfId="0" applyNumberFormat="1" applyFill="1" applyBorder="1" applyAlignment="1" applyProtection="1">
      <alignment horizontal="center" vertical="center"/>
      <protection hidden="1"/>
    </xf>
    <xf numFmtId="3" fontId="0" fillId="0" borderId="5" xfId="0" applyNumberFormat="1" applyFill="1" applyBorder="1" applyAlignment="1" applyProtection="1">
      <alignment horizontal="center" vertic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49" fontId="0" fillId="0" borderId="6" xfId="0" applyNumberFormat="1" applyFill="1" applyBorder="1" applyAlignment="1" applyProtection="1">
      <alignment horizontal="center" vertical="center"/>
      <protection hidden="1"/>
    </xf>
    <xf numFmtId="3" fontId="0" fillId="0" borderId="7" xfId="0" applyNumberFormat="1" applyFill="1" applyBorder="1" applyAlignment="1" applyProtection="1">
      <alignment horizontal="center" vertical="center"/>
      <protection hidden="1"/>
    </xf>
    <xf numFmtId="3" fontId="0" fillId="0" borderId="0" xfId="0" applyNumberFormat="1" applyFill="1" applyBorder="1" applyAlignment="1" applyProtection="1">
      <alignment horizontal="center" vertical="center"/>
      <protection hidden="1"/>
    </xf>
    <xf numFmtId="3" fontId="0" fillId="0" borderId="10" xfId="0" applyNumberFormat="1" applyFill="1" applyBorder="1" applyAlignment="1" applyProtection="1">
      <alignment horizontal="center" vertical="center"/>
      <protection hidden="1"/>
    </xf>
    <xf numFmtId="0" fontId="0" fillId="0" borderId="29" xfId="0" applyFill="1" applyBorder="1" applyAlignment="1" applyProtection="1">
      <alignment horizontal="center" vertical="center"/>
      <protection hidden="1"/>
    </xf>
    <xf numFmtId="49" fontId="0" fillId="0" borderId="29" xfId="0" applyNumberFormat="1" applyFill="1" applyBorder="1" applyAlignment="1" applyProtection="1">
      <alignment horizontal="center" vertical="center"/>
      <protection hidden="1"/>
    </xf>
    <xf numFmtId="3" fontId="0" fillId="0" borderId="23" xfId="0" applyNumberFormat="1" applyFill="1" applyBorder="1" applyAlignment="1" applyProtection="1">
      <alignment horizontal="center" vertical="center"/>
      <protection hidden="1"/>
    </xf>
    <xf numFmtId="3" fontId="0" fillId="0" borderId="1" xfId="0" applyNumberFormat="1" applyFill="1" applyBorder="1" applyAlignment="1" applyProtection="1">
      <alignment horizontal="center" vertical="center"/>
      <protection hidden="1"/>
    </xf>
    <xf numFmtId="3" fontId="0" fillId="0" borderId="24" xfId="0" applyNumberForma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3" fontId="0" fillId="0" borderId="0" xfId="0" applyNumberFormat="1" applyFill="1" applyAlignment="1" applyProtection="1">
      <alignment horizontal="center" vertical="center"/>
      <protection hidden="1"/>
    </xf>
    <xf numFmtId="165" fontId="0" fillId="0" borderId="0" xfId="0" applyNumberFormat="1" applyFill="1" applyBorder="1" applyAlignment="1" applyProtection="1">
      <alignment vertical="center"/>
      <protection hidden="1"/>
    </xf>
    <xf numFmtId="165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17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vertical="center" textRotation="255"/>
      <protection hidden="1"/>
    </xf>
    <xf numFmtId="0" fontId="0" fillId="0" borderId="0" xfId="0" applyNumberFormat="1" applyFill="1" applyBorder="1" applyAlignment="1" applyProtection="1">
      <alignment horizontal="center"/>
      <protection hidden="1"/>
    </xf>
    <xf numFmtId="165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vertical="center" textRotation="255"/>
      <protection hidden="1"/>
    </xf>
    <xf numFmtId="17" fontId="0" fillId="0" borderId="0" xfId="0" applyNumberFormat="1" applyBorder="1" applyAlignment="1" applyProtection="1">
      <alignment horizontal="center"/>
      <protection hidden="1"/>
    </xf>
    <xf numFmtId="0" fontId="10" fillId="0" borderId="0" xfId="0" applyFont="1" applyFill="1" applyAlignment="1" applyProtection="1">
      <alignment horizontal="center" vertical="center"/>
      <protection hidden="1"/>
    </xf>
    <xf numFmtId="3" fontId="0" fillId="0" borderId="25" xfId="0" applyNumberFormat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49" fontId="0" fillId="0" borderId="2" xfId="1" applyNumberFormat="1" applyFont="1" applyBorder="1" applyAlignment="1" applyProtection="1">
      <alignment horizontal="center" vertical="center"/>
      <protection hidden="1"/>
    </xf>
    <xf numFmtId="3" fontId="0" fillId="0" borderId="3" xfId="0" applyNumberFormat="1" applyBorder="1" applyAlignment="1" applyProtection="1">
      <alignment horizontal="center" vertical="center"/>
      <protection hidden="1"/>
    </xf>
    <xf numFmtId="3" fontId="0" fillId="0" borderId="4" xfId="0" applyNumberFormat="1" applyBorder="1" applyAlignment="1" applyProtection="1">
      <alignment horizontal="center" vertical="center"/>
      <protection hidden="1"/>
    </xf>
    <xf numFmtId="3" fontId="0" fillId="0" borderId="5" xfId="0" applyNumberForma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49" fontId="0" fillId="0" borderId="6" xfId="0" applyNumberFormat="1" applyBorder="1" applyAlignment="1" applyProtection="1">
      <alignment horizontal="center" vertical="center"/>
      <protection hidden="1"/>
    </xf>
    <xf numFmtId="3" fontId="0" fillId="0" borderId="7" xfId="0" applyNumberFormat="1" applyBorder="1" applyAlignment="1" applyProtection="1">
      <alignment horizontal="center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3" fontId="0" fillId="0" borderId="10" xfId="0" applyNumberFormat="1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49" fontId="0" fillId="0" borderId="29" xfId="0" applyNumberFormat="1" applyBorder="1" applyAlignment="1" applyProtection="1">
      <alignment horizontal="center" vertical="center"/>
      <protection hidden="1"/>
    </xf>
    <xf numFmtId="3" fontId="0" fillId="0" borderId="23" xfId="0" applyNumberFormat="1" applyBorder="1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center" vertical="center"/>
      <protection hidden="1"/>
    </xf>
    <xf numFmtId="3" fontId="0" fillId="0" borderId="24" xfId="0" applyNumberFormat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3" fontId="0" fillId="0" borderId="0" xfId="0" applyNumberFormat="1" applyAlignment="1" applyProtection="1">
      <alignment horizontal="center" vertical="center"/>
      <protection hidden="1"/>
    </xf>
    <xf numFmtId="3" fontId="0" fillId="0" borderId="0" xfId="0" applyNumberFormat="1" applyProtection="1">
      <protection hidden="1"/>
    </xf>
    <xf numFmtId="3" fontId="0" fillId="2" borderId="0" xfId="0" applyNumberFormat="1" applyFill="1" applyProtection="1">
      <protection hidden="1"/>
    </xf>
    <xf numFmtId="3" fontId="2" fillId="3" borderId="0" xfId="0" applyNumberFormat="1" applyFont="1" applyFill="1" applyAlignment="1" applyProtection="1">
      <alignment horizontal="center" vertical="center"/>
      <protection hidden="1"/>
    </xf>
    <xf numFmtId="0" fontId="0" fillId="2" borderId="0" xfId="0" applyFill="1" applyProtection="1"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wrapText="1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3" fillId="4" borderId="2" xfId="0" applyFont="1" applyFill="1" applyBorder="1" applyAlignment="1" applyProtection="1">
      <alignment horizontal="center" vertical="center" wrapText="1"/>
      <protection hidden="1"/>
    </xf>
    <xf numFmtId="0" fontId="4" fillId="4" borderId="2" xfId="0" applyFont="1" applyFill="1" applyBorder="1" applyAlignment="1" applyProtection="1">
      <alignment horizontal="center" vertical="center" wrapText="1"/>
      <protection hidden="1"/>
    </xf>
    <xf numFmtId="0" fontId="0" fillId="4" borderId="2" xfId="0" applyFont="1" applyFill="1" applyBorder="1" applyAlignment="1" applyProtection="1">
      <alignment horizontal="center" vertical="center" wrapText="1"/>
      <protection hidden="1"/>
    </xf>
    <xf numFmtId="0" fontId="0" fillId="4" borderId="3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0" fillId="4" borderId="6" xfId="0" applyFill="1" applyBorder="1" applyAlignment="1" applyProtection="1">
      <alignment horizontal="center" vertical="center"/>
      <protection hidden="1"/>
    </xf>
    <xf numFmtId="0" fontId="3" fillId="4" borderId="6" xfId="0" applyFont="1" applyFill="1" applyBorder="1" applyAlignment="1" applyProtection="1">
      <alignment horizontal="center" vertical="center" wrapText="1"/>
      <protection hidden="1"/>
    </xf>
    <xf numFmtId="0" fontId="4" fillId="4" borderId="6" xfId="0" applyFont="1" applyFill="1" applyBorder="1" applyAlignment="1" applyProtection="1">
      <alignment horizontal="center" vertical="center" wrapText="1"/>
      <protection hidden="1"/>
    </xf>
    <xf numFmtId="0" fontId="0" fillId="4" borderId="6" xfId="0" applyFont="1" applyFill="1" applyBorder="1" applyAlignment="1" applyProtection="1">
      <alignment horizontal="center" vertical="center" wrapText="1"/>
      <protection hidden="1"/>
    </xf>
    <xf numFmtId="0" fontId="3" fillId="4" borderId="7" xfId="0" applyFont="1" applyFill="1" applyBorder="1" applyAlignment="1" applyProtection="1">
      <alignment horizontal="center" vertical="center" wrapText="1"/>
      <protection hidden="1"/>
    </xf>
    <xf numFmtId="0" fontId="3" fillId="5" borderId="8" xfId="0" applyFont="1" applyFill="1" applyBorder="1" applyAlignment="1" applyProtection="1">
      <alignment horizontal="center" vertical="center" wrapText="1"/>
      <protection hidden="1"/>
    </xf>
    <xf numFmtId="0" fontId="3" fillId="5" borderId="4" xfId="0" applyFont="1" applyFill="1" applyBorder="1" applyAlignment="1" applyProtection="1">
      <alignment horizontal="center" vertical="center" wrapText="1"/>
      <protection hidden="1"/>
    </xf>
    <xf numFmtId="0" fontId="3" fillId="5" borderId="9" xfId="0" applyFont="1" applyFill="1" applyBorder="1" applyAlignment="1" applyProtection="1">
      <alignment horizontal="center" vertical="center" wrapText="1"/>
      <protection hidden="1"/>
    </xf>
    <xf numFmtId="0" fontId="3" fillId="6" borderId="8" xfId="0" applyFont="1" applyFill="1" applyBorder="1" applyAlignment="1" applyProtection="1">
      <alignment horizontal="center" vertical="center" wrapText="1"/>
      <protection hidden="1"/>
    </xf>
    <xf numFmtId="0" fontId="3" fillId="6" borderId="4" xfId="0" applyFont="1" applyFill="1" applyBorder="1" applyAlignment="1" applyProtection="1">
      <alignment horizontal="center" vertical="center" wrapText="1"/>
      <protection hidden="1"/>
    </xf>
    <xf numFmtId="0" fontId="3" fillId="6" borderId="9" xfId="0" applyFont="1" applyFill="1" applyBorder="1" applyAlignment="1" applyProtection="1">
      <alignment horizontal="center" vertical="center" wrapText="1"/>
      <protection hidden="1"/>
    </xf>
    <xf numFmtId="0" fontId="3" fillId="7" borderId="8" xfId="0" applyFont="1" applyFill="1" applyBorder="1" applyAlignment="1" applyProtection="1">
      <alignment horizontal="center" vertical="center" wrapText="1"/>
      <protection hidden="1"/>
    </xf>
    <xf numFmtId="0" fontId="3" fillId="7" borderId="4" xfId="0" applyFont="1" applyFill="1" applyBorder="1" applyAlignment="1" applyProtection="1">
      <alignment horizontal="center" vertical="center" wrapText="1"/>
      <protection hidden="1"/>
    </xf>
    <xf numFmtId="0" fontId="3" fillId="7" borderId="9" xfId="0" applyFont="1" applyFill="1" applyBorder="1" applyAlignment="1" applyProtection="1">
      <alignment horizontal="center" vertical="center" wrapText="1"/>
      <protection hidden="1"/>
    </xf>
    <xf numFmtId="0" fontId="0" fillId="4" borderId="10" xfId="0" applyFill="1" applyBorder="1" applyAlignment="1" applyProtection="1">
      <alignment horizontal="center" vertical="center" wrapText="1"/>
      <protection hidden="1"/>
    </xf>
    <xf numFmtId="0" fontId="0" fillId="4" borderId="6" xfId="0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0" fillId="4" borderId="11" xfId="0" applyFill="1" applyBorder="1" applyAlignment="1" applyProtection="1">
      <alignment horizontal="center" vertical="center" textRotation="255"/>
      <protection hidden="1"/>
    </xf>
    <xf numFmtId="17" fontId="0" fillId="0" borderId="12" xfId="0" applyNumberFormat="1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 vertical="center"/>
      <protection hidden="1"/>
    </xf>
    <xf numFmtId="4" fontId="0" fillId="0" borderId="13" xfId="0" quotePrefix="1" applyNumberFormat="1" applyFill="1" applyBorder="1" applyAlignment="1" applyProtection="1">
      <alignment horizontal="center" vertical="center"/>
      <protection hidden="1"/>
    </xf>
    <xf numFmtId="4" fontId="0" fillId="0" borderId="13" xfId="0" applyNumberFormat="1" applyFill="1" applyBorder="1" applyAlignment="1" applyProtection="1">
      <alignment horizontal="center" vertical="center"/>
      <protection hidden="1"/>
    </xf>
    <xf numFmtId="4" fontId="0" fillId="2" borderId="13" xfId="0" applyNumberFormat="1" applyFill="1" applyBorder="1" applyAlignment="1" applyProtection="1">
      <alignment horizontal="center" vertical="center"/>
      <protection hidden="1"/>
    </xf>
    <xf numFmtId="4" fontId="0" fillId="5" borderId="13" xfId="0" applyNumberFormat="1" applyFill="1" applyBorder="1" applyAlignment="1" applyProtection="1">
      <alignment horizontal="center" vertical="center"/>
      <protection hidden="1"/>
    </xf>
    <xf numFmtId="164" fontId="0" fillId="5" borderId="13" xfId="0" quotePrefix="1" applyNumberFormat="1" applyFill="1" applyBorder="1" applyAlignment="1" applyProtection="1">
      <alignment horizontal="center" vertical="center"/>
      <protection hidden="1"/>
    </xf>
    <xf numFmtId="4" fontId="0" fillId="6" borderId="13" xfId="0" applyNumberFormat="1" applyFill="1" applyBorder="1" applyAlignment="1" applyProtection="1">
      <alignment horizontal="center" vertical="center"/>
      <protection hidden="1"/>
    </xf>
    <xf numFmtId="164" fontId="0" fillId="6" borderId="13" xfId="0" quotePrefix="1" applyNumberFormat="1" applyFill="1" applyBorder="1" applyAlignment="1" applyProtection="1">
      <alignment horizontal="center" vertical="center"/>
      <protection hidden="1"/>
    </xf>
    <xf numFmtId="4" fontId="0" fillId="7" borderId="13" xfId="0" applyNumberFormat="1" applyFill="1" applyBorder="1" applyAlignment="1" applyProtection="1">
      <alignment horizontal="center" vertical="center"/>
      <protection hidden="1"/>
    </xf>
    <xf numFmtId="164" fontId="0" fillId="7" borderId="13" xfId="0" quotePrefix="1" applyNumberFormat="1" applyFill="1" applyBorder="1" applyAlignment="1" applyProtection="1">
      <alignment horizontal="center" vertical="center"/>
      <protection hidden="1"/>
    </xf>
    <xf numFmtId="4" fontId="0" fillId="0" borderId="14" xfId="0" applyNumberFormat="1" applyFill="1" applyBorder="1" applyAlignment="1" applyProtection="1">
      <alignment horizontal="center" vertical="center"/>
      <protection hidden="1"/>
    </xf>
    <xf numFmtId="4" fontId="0" fillId="0" borderId="0" xfId="0" applyNumberFormat="1" applyFill="1" applyAlignment="1" applyProtection="1">
      <alignment horizontal="center" vertical="center"/>
      <protection hidden="1"/>
    </xf>
    <xf numFmtId="4" fontId="0" fillId="0" borderId="0" xfId="0" applyNumberFormat="1" applyAlignment="1" applyProtection="1">
      <alignment horizontal="center" vertical="center"/>
      <protection hidden="1"/>
    </xf>
    <xf numFmtId="4" fontId="0" fillId="0" borderId="12" xfId="0" applyNumberFormat="1" applyBorder="1" applyAlignment="1" applyProtection="1">
      <alignment horizontal="center" vertical="center"/>
      <protection hidden="1"/>
    </xf>
    <xf numFmtId="4" fontId="0" fillId="0" borderId="14" xfId="0" applyNumberFormat="1" applyBorder="1" applyAlignment="1" applyProtection="1">
      <alignment horizontal="center" vertical="center"/>
      <protection hidden="1"/>
    </xf>
    <xf numFmtId="0" fontId="0" fillId="4" borderId="15" xfId="0" applyFill="1" applyBorder="1" applyAlignment="1" applyProtection="1">
      <alignment horizontal="center" vertical="center" textRotation="255"/>
      <protection hidden="1"/>
    </xf>
    <xf numFmtId="17" fontId="0" fillId="0" borderId="16" xfId="0" applyNumberFormat="1" applyBorder="1" applyAlignment="1" applyProtection="1">
      <alignment horizontal="center" vertical="center"/>
      <protection hidden="1"/>
    </xf>
    <xf numFmtId="4" fontId="0" fillId="2" borderId="17" xfId="0" applyNumberFormat="1" applyFill="1" applyBorder="1" applyAlignment="1" applyProtection="1">
      <alignment horizontal="center" vertical="center"/>
      <protection hidden="1"/>
    </xf>
    <xf numFmtId="4" fontId="0" fillId="0" borderId="17" xfId="0" applyNumberFormat="1" applyBorder="1" applyAlignment="1" applyProtection="1">
      <alignment horizontal="center" vertical="center"/>
      <protection hidden="1"/>
    </xf>
    <xf numFmtId="4" fontId="0" fillId="5" borderId="17" xfId="0" applyNumberFormat="1" applyFill="1" applyBorder="1" applyAlignment="1" applyProtection="1">
      <alignment horizontal="center" vertical="center"/>
      <protection hidden="1"/>
    </xf>
    <xf numFmtId="164" fontId="0" fillId="5" borderId="17" xfId="0" applyNumberFormat="1" applyFill="1" applyBorder="1" applyAlignment="1" applyProtection="1">
      <alignment horizontal="center" vertical="center"/>
      <protection hidden="1"/>
    </xf>
    <xf numFmtId="4" fontId="0" fillId="6" borderId="17" xfId="0" applyNumberFormat="1" applyFill="1" applyBorder="1" applyAlignment="1" applyProtection="1">
      <alignment horizontal="center" vertical="center"/>
      <protection hidden="1"/>
    </xf>
    <xf numFmtId="164" fontId="0" fillId="6" borderId="17" xfId="0" applyNumberFormat="1" applyFill="1" applyBorder="1" applyAlignment="1" applyProtection="1">
      <alignment horizontal="center" vertical="center"/>
      <protection hidden="1"/>
    </xf>
    <xf numFmtId="4" fontId="0" fillId="7" borderId="17" xfId="0" applyNumberFormat="1" applyFill="1" applyBorder="1" applyAlignment="1" applyProtection="1">
      <alignment horizontal="center" vertical="center"/>
      <protection hidden="1"/>
    </xf>
    <xf numFmtId="164" fontId="0" fillId="7" borderId="17" xfId="0" applyNumberFormat="1" applyFill="1" applyBorder="1" applyAlignment="1" applyProtection="1">
      <alignment horizontal="center" vertical="center"/>
      <protection hidden="1"/>
    </xf>
    <xf numFmtId="4" fontId="0" fillId="0" borderId="18" xfId="0" applyNumberFormat="1" applyBorder="1" applyAlignment="1" applyProtection="1">
      <alignment horizontal="center" vertical="center"/>
      <protection hidden="1"/>
    </xf>
    <xf numFmtId="4" fontId="0" fillId="2" borderId="0" xfId="0" applyNumberFormat="1" applyFill="1" applyProtection="1">
      <protection hidden="1"/>
    </xf>
    <xf numFmtId="4" fontId="0" fillId="0" borderId="0" xfId="0" applyNumberFormat="1" applyProtection="1">
      <protection hidden="1"/>
    </xf>
    <xf numFmtId="4" fontId="0" fillId="0" borderId="16" xfId="0" applyNumberFormat="1" applyBorder="1" applyAlignment="1" applyProtection="1">
      <alignment horizontal="center" vertical="center"/>
      <protection hidden="1"/>
    </xf>
    <xf numFmtId="0" fontId="0" fillId="4" borderId="19" xfId="0" applyFill="1" applyBorder="1" applyAlignment="1" applyProtection="1">
      <alignment horizontal="center" vertical="center" textRotation="255"/>
      <protection hidden="1"/>
    </xf>
    <xf numFmtId="17" fontId="0" fillId="0" borderId="20" xfId="0" applyNumberFormat="1" applyBorder="1" applyAlignment="1" applyProtection="1">
      <alignment horizontal="center" vertical="center"/>
      <protection hidden="1"/>
    </xf>
    <xf numFmtId="4" fontId="0" fillId="2" borderId="21" xfId="0" applyNumberFormat="1" applyFill="1" applyBorder="1" applyAlignment="1" applyProtection="1">
      <alignment horizontal="center" vertical="center"/>
      <protection hidden="1"/>
    </xf>
    <xf numFmtId="4" fontId="0" fillId="0" borderId="21" xfId="0" applyNumberFormat="1" applyBorder="1" applyAlignment="1" applyProtection="1">
      <alignment horizontal="center" vertical="center"/>
      <protection hidden="1"/>
    </xf>
    <xf numFmtId="4" fontId="0" fillId="5" borderId="21" xfId="0" applyNumberFormat="1" applyFill="1" applyBorder="1" applyAlignment="1" applyProtection="1">
      <alignment horizontal="center" vertical="center"/>
      <protection hidden="1"/>
    </xf>
    <xf numFmtId="164" fontId="0" fillId="5" borderId="21" xfId="0" applyNumberFormat="1" applyFill="1" applyBorder="1" applyAlignment="1" applyProtection="1">
      <alignment horizontal="center" vertical="center"/>
      <protection hidden="1"/>
    </xf>
    <xf numFmtId="4" fontId="0" fillId="6" borderId="21" xfId="0" applyNumberFormat="1" applyFill="1" applyBorder="1" applyAlignment="1" applyProtection="1">
      <alignment horizontal="center" vertical="center"/>
      <protection hidden="1"/>
    </xf>
    <xf numFmtId="164" fontId="0" fillId="6" borderId="21" xfId="0" applyNumberFormat="1" applyFill="1" applyBorder="1" applyAlignment="1" applyProtection="1">
      <alignment horizontal="center" vertical="center"/>
      <protection hidden="1"/>
    </xf>
    <xf numFmtId="4" fontId="0" fillId="7" borderId="21" xfId="0" applyNumberFormat="1" applyFill="1" applyBorder="1" applyAlignment="1" applyProtection="1">
      <alignment horizontal="center" vertical="center"/>
      <protection hidden="1"/>
    </xf>
    <xf numFmtId="164" fontId="0" fillId="7" borderId="21" xfId="0" applyNumberFormat="1" applyFill="1" applyBorder="1" applyAlignment="1" applyProtection="1">
      <alignment horizontal="center" vertical="center"/>
      <protection hidden="1"/>
    </xf>
    <xf numFmtId="4" fontId="0" fillId="0" borderId="22" xfId="0" applyNumberFormat="1" applyBorder="1" applyAlignment="1" applyProtection="1">
      <alignment horizontal="center" vertical="center"/>
      <protection hidden="1"/>
    </xf>
    <xf numFmtId="4" fontId="0" fillId="0" borderId="20" xfId="0" applyNumberFormat="1" applyBorder="1" applyAlignment="1" applyProtection="1">
      <alignment horizontal="center" vertical="center"/>
      <protection hidden="1"/>
    </xf>
    <xf numFmtId="17" fontId="0" fillId="0" borderId="12" xfId="0" applyNumberFormat="1" applyBorder="1" applyAlignment="1" applyProtection="1">
      <alignment horizontal="center" vertical="center"/>
      <protection hidden="1"/>
    </xf>
    <xf numFmtId="4" fontId="0" fillId="0" borderId="13" xfId="0" applyNumberFormat="1" applyBorder="1" applyAlignment="1" applyProtection="1">
      <alignment horizontal="center" vertical="center"/>
      <protection hidden="1"/>
    </xf>
    <xf numFmtId="164" fontId="0" fillId="5" borderId="13" xfId="0" applyNumberFormat="1" applyFill="1" applyBorder="1" applyAlignment="1" applyProtection="1">
      <alignment horizontal="center" vertical="center"/>
      <protection hidden="1"/>
    </xf>
    <xf numFmtId="164" fontId="0" fillId="6" borderId="13" xfId="0" applyNumberFormat="1" applyFill="1" applyBorder="1" applyAlignment="1" applyProtection="1">
      <alignment horizontal="center" vertical="center"/>
      <protection hidden="1"/>
    </xf>
    <xf numFmtId="164" fontId="0" fillId="7" borderId="13" xfId="0" applyNumberFormat="1" applyFill="1" applyBorder="1" applyAlignment="1" applyProtection="1">
      <alignment horizontal="center" vertical="center"/>
      <protection hidden="1"/>
    </xf>
    <xf numFmtId="4" fontId="3" fillId="0" borderId="0" xfId="0" applyNumberFormat="1" applyFont="1" applyFill="1" applyAlignment="1" applyProtection="1">
      <alignment horizontal="center" vertical="center"/>
      <protection hidden="1"/>
    </xf>
    <xf numFmtId="4" fontId="3" fillId="0" borderId="0" xfId="0" applyNumberFormat="1" applyFont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wrapText="1"/>
      <protection hidden="1"/>
    </xf>
    <xf numFmtId="17" fontId="0" fillId="0" borderId="17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3" fillId="0" borderId="0" xfId="0" applyFont="1" applyFill="1" applyAlignment="1" applyProtection="1">
      <alignment horizontal="center" vertical="center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11" borderId="1" xfId="0" applyFill="1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0" fillId="0" borderId="10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3" xfId="0" quotePrefix="1" applyNumberFormat="1" applyFont="1" applyBorder="1" applyAlignment="1" applyProtection="1">
      <alignment horizontal="center" vertical="center" textRotation="45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164" fontId="0" fillId="0" borderId="4" xfId="0" applyNumberFormat="1" applyFill="1" applyBorder="1" applyAlignment="1" applyProtection="1">
      <alignment horizontal="center" vertical="center"/>
      <protection hidden="1"/>
    </xf>
    <xf numFmtId="4" fontId="0" fillId="0" borderId="5" xfId="0" applyNumberFormat="1" applyFill="1" applyBorder="1" applyAlignment="1" applyProtection="1">
      <alignment horizontal="center" vertical="center"/>
      <protection hidden="1"/>
    </xf>
    <xf numFmtId="0" fontId="3" fillId="0" borderId="3" xfId="0" quotePrefix="1" applyNumberFormat="1" applyFont="1" applyFill="1" applyBorder="1" applyAlignment="1" applyProtection="1">
      <alignment horizontal="center" vertical="center" textRotation="45"/>
      <protection hidden="1"/>
    </xf>
    <xf numFmtId="0" fontId="3" fillId="0" borderId="23" xfId="0" quotePrefix="1" applyNumberFormat="1" applyFont="1" applyBorder="1" applyAlignment="1" applyProtection="1">
      <alignment horizontal="center" vertical="center" textRotation="45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164" fontId="0" fillId="0" borderId="1" xfId="0" applyNumberFormat="1" applyFill="1" applyBorder="1" applyAlignment="1" applyProtection="1">
      <alignment horizontal="center" vertical="center"/>
      <protection hidden="1"/>
    </xf>
    <xf numFmtId="4" fontId="0" fillId="0" borderId="24" xfId="0" applyNumberFormat="1" applyFill="1" applyBorder="1" applyAlignment="1" applyProtection="1">
      <alignment horizontal="center" vertical="center"/>
      <protection hidden="1"/>
    </xf>
    <xf numFmtId="0" fontId="3" fillId="0" borderId="23" xfId="0" applyNumberFormat="1" applyFont="1" applyFill="1" applyBorder="1" applyAlignment="1" applyProtection="1">
      <alignment horizontal="center" vertical="center" textRotation="45"/>
      <protection hidden="1"/>
    </xf>
    <xf numFmtId="0" fontId="3" fillId="0" borderId="3" xfId="0" quotePrefix="1" applyNumberFormat="1" applyFont="1" applyBorder="1" applyAlignment="1" applyProtection="1">
      <alignment horizontal="center" vertical="center" textRotation="45" wrapText="1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3" fillId="0" borderId="7" xfId="0" quotePrefix="1" applyNumberFormat="1" applyFont="1" applyBorder="1" applyAlignment="1" applyProtection="1">
      <alignment horizontal="center" vertical="center" textRotation="45" wrapText="1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4" fontId="0" fillId="0" borderId="10" xfId="0" applyNumberFormat="1" applyFill="1" applyBorder="1" applyAlignment="1" applyProtection="1">
      <alignment horizontal="center" vertical="center"/>
      <protection hidden="1"/>
    </xf>
    <xf numFmtId="0" fontId="3" fillId="0" borderId="7" xfId="0" quotePrefix="1" applyNumberFormat="1" applyFont="1" applyFill="1" applyBorder="1" applyAlignment="1" applyProtection="1">
      <alignment horizontal="center" vertical="center" textRotation="45"/>
      <protection hidden="1"/>
    </xf>
    <xf numFmtId="0" fontId="3" fillId="0" borderId="23" xfId="0" quotePrefix="1" applyNumberFormat="1" applyFont="1" applyBorder="1" applyAlignment="1" applyProtection="1">
      <alignment horizontal="center" vertical="center" textRotation="45" wrapText="1"/>
      <protection hidden="1"/>
    </xf>
    <xf numFmtId="0" fontId="3" fillId="0" borderId="23" xfId="0" quotePrefix="1" applyNumberFormat="1" applyFont="1" applyFill="1" applyBorder="1" applyAlignment="1" applyProtection="1">
      <alignment horizontal="center" vertical="center" textRotation="45"/>
      <protection hidden="1"/>
    </xf>
    <xf numFmtId="0" fontId="0" fillId="0" borderId="7" xfId="0" applyBorder="1" applyProtection="1"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3" fillId="0" borderId="3" xfId="0" applyNumberFormat="1" applyFont="1" applyFill="1" applyBorder="1" applyAlignment="1" applyProtection="1">
      <alignment horizontal="center" vertical="center" textRotation="45"/>
      <protection hidden="1"/>
    </xf>
    <xf numFmtId="0" fontId="3" fillId="0" borderId="7" xfId="0" applyNumberFormat="1" applyFont="1" applyBorder="1" applyAlignment="1" applyProtection="1">
      <alignment horizontal="center" vertical="center" textRotation="45"/>
      <protection hidden="1"/>
    </xf>
    <xf numFmtId="0" fontId="3" fillId="0" borderId="7" xfId="0" applyNumberFormat="1" applyFont="1" applyFill="1" applyBorder="1" applyAlignment="1" applyProtection="1">
      <alignment horizontal="center" vertical="center" textRotation="45"/>
      <protection hidden="1"/>
    </xf>
    <xf numFmtId="0" fontId="3" fillId="0" borderId="23" xfId="0" applyNumberFormat="1" applyFont="1" applyBorder="1" applyAlignment="1" applyProtection="1">
      <alignment horizontal="center" vertical="center" textRotation="45"/>
      <protection hidden="1"/>
    </xf>
    <xf numFmtId="0" fontId="3" fillId="0" borderId="3" xfId="0" quotePrefix="1" applyNumberFormat="1" applyFont="1" applyBorder="1" applyAlignment="1" applyProtection="1">
      <alignment horizontal="center" textRotation="45" wrapText="1"/>
      <protection hidden="1"/>
    </xf>
    <xf numFmtId="0" fontId="3" fillId="0" borderId="23" xfId="0" applyNumberFormat="1" applyFont="1" applyBorder="1" applyAlignment="1" applyProtection="1">
      <alignment horizontal="center" textRotation="45" wrapText="1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horizontal="center" vertical="center"/>
      <protection hidden="1"/>
    </xf>
    <xf numFmtId="0" fontId="3" fillId="0" borderId="3" xfId="0" quotePrefix="1" applyNumberFormat="1" applyFont="1" applyFill="1" applyBorder="1" applyAlignment="1" applyProtection="1">
      <alignment horizontal="center" vertical="center" textRotation="45" wrapText="1"/>
      <protection hidden="1"/>
    </xf>
    <xf numFmtId="0" fontId="3" fillId="0" borderId="7" xfId="0" quotePrefix="1" applyNumberFormat="1" applyFont="1" applyFill="1" applyBorder="1" applyAlignment="1" applyProtection="1">
      <alignment horizontal="center" vertical="center" textRotation="45" wrapText="1"/>
      <protection hidden="1"/>
    </xf>
    <xf numFmtId="0" fontId="3" fillId="0" borderId="23" xfId="0" quotePrefix="1" applyNumberFormat="1" applyFont="1" applyFill="1" applyBorder="1" applyAlignment="1" applyProtection="1">
      <alignment horizontal="center" vertical="center" textRotation="45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9" Type="http://schemas.openxmlformats.org/officeDocument/2006/relationships/externalLink" Target="externalLinks/externalLink34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42" Type="http://schemas.openxmlformats.org/officeDocument/2006/relationships/externalLink" Target="externalLinks/externalLink37.xml"/><Relationship Id="rId47" Type="http://schemas.openxmlformats.org/officeDocument/2006/relationships/externalLink" Target="externalLinks/externalLink42.xml"/><Relationship Id="rId50" Type="http://schemas.openxmlformats.org/officeDocument/2006/relationships/externalLink" Target="externalLinks/externalLink45.xml"/><Relationship Id="rId55" Type="http://schemas.openxmlformats.org/officeDocument/2006/relationships/externalLink" Target="externalLinks/externalLink50.xml"/><Relationship Id="rId63" Type="http://schemas.openxmlformats.org/officeDocument/2006/relationships/externalLink" Target="externalLinks/externalLink58.xml"/><Relationship Id="rId68" Type="http://schemas.openxmlformats.org/officeDocument/2006/relationships/externalLink" Target="externalLinks/externalLink63.xml"/><Relationship Id="rId76" Type="http://schemas.openxmlformats.org/officeDocument/2006/relationships/externalLink" Target="externalLinks/externalLink71.xml"/><Relationship Id="rId84" Type="http://schemas.openxmlformats.org/officeDocument/2006/relationships/styles" Target="styles.xml"/><Relationship Id="rId7" Type="http://schemas.openxmlformats.org/officeDocument/2006/relationships/externalLink" Target="externalLinks/externalLink2.xml"/><Relationship Id="rId71" Type="http://schemas.openxmlformats.org/officeDocument/2006/relationships/externalLink" Target="externalLinks/externalLink6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4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53" Type="http://schemas.openxmlformats.org/officeDocument/2006/relationships/externalLink" Target="externalLinks/externalLink48.xml"/><Relationship Id="rId58" Type="http://schemas.openxmlformats.org/officeDocument/2006/relationships/externalLink" Target="externalLinks/externalLink53.xml"/><Relationship Id="rId66" Type="http://schemas.openxmlformats.org/officeDocument/2006/relationships/externalLink" Target="externalLinks/externalLink61.xml"/><Relationship Id="rId74" Type="http://schemas.openxmlformats.org/officeDocument/2006/relationships/externalLink" Target="externalLinks/externalLink69.xml"/><Relationship Id="rId79" Type="http://schemas.openxmlformats.org/officeDocument/2006/relationships/externalLink" Target="externalLinks/externalLink74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6.xml"/><Relationship Id="rId82" Type="http://schemas.openxmlformats.org/officeDocument/2006/relationships/externalLink" Target="externalLinks/externalLink77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56" Type="http://schemas.openxmlformats.org/officeDocument/2006/relationships/externalLink" Target="externalLinks/externalLink51.xml"/><Relationship Id="rId64" Type="http://schemas.openxmlformats.org/officeDocument/2006/relationships/externalLink" Target="externalLinks/externalLink59.xml"/><Relationship Id="rId69" Type="http://schemas.openxmlformats.org/officeDocument/2006/relationships/externalLink" Target="externalLinks/externalLink64.xml"/><Relationship Id="rId77" Type="http://schemas.openxmlformats.org/officeDocument/2006/relationships/externalLink" Target="externalLinks/externalLink72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externalLink" Target="externalLinks/externalLink67.xml"/><Relationship Id="rId80" Type="http://schemas.openxmlformats.org/officeDocument/2006/relationships/externalLink" Target="externalLinks/externalLink75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46" Type="http://schemas.openxmlformats.org/officeDocument/2006/relationships/externalLink" Target="externalLinks/externalLink41.xml"/><Relationship Id="rId59" Type="http://schemas.openxmlformats.org/officeDocument/2006/relationships/externalLink" Target="externalLinks/externalLink54.xml"/><Relationship Id="rId67" Type="http://schemas.openxmlformats.org/officeDocument/2006/relationships/externalLink" Target="externalLinks/externalLink62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54" Type="http://schemas.openxmlformats.org/officeDocument/2006/relationships/externalLink" Target="externalLinks/externalLink49.xml"/><Relationship Id="rId62" Type="http://schemas.openxmlformats.org/officeDocument/2006/relationships/externalLink" Target="externalLinks/externalLink57.xml"/><Relationship Id="rId70" Type="http://schemas.openxmlformats.org/officeDocument/2006/relationships/externalLink" Target="externalLinks/externalLink65.xml"/><Relationship Id="rId75" Type="http://schemas.openxmlformats.org/officeDocument/2006/relationships/externalLink" Target="externalLinks/externalLink70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49" Type="http://schemas.openxmlformats.org/officeDocument/2006/relationships/externalLink" Target="externalLinks/externalLink44.xml"/><Relationship Id="rId57" Type="http://schemas.openxmlformats.org/officeDocument/2006/relationships/externalLink" Target="externalLinks/externalLink52.xml"/><Relationship Id="rId10" Type="http://schemas.openxmlformats.org/officeDocument/2006/relationships/externalLink" Target="externalLinks/externalLink5.xml"/><Relationship Id="rId31" Type="http://schemas.openxmlformats.org/officeDocument/2006/relationships/externalLink" Target="externalLinks/externalLink26.xml"/><Relationship Id="rId44" Type="http://schemas.openxmlformats.org/officeDocument/2006/relationships/externalLink" Target="externalLinks/externalLink39.xml"/><Relationship Id="rId52" Type="http://schemas.openxmlformats.org/officeDocument/2006/relationships/externalLink" Target="externalLinks/externalLink47.xml"/><Relationship Id="rId60" Type="http://schemas.openxmlformats.org/officeDocument/2006/relationships/externalLink" Target="externalLinks/externalLink55.xml"/><Relationship Id="rId65" Type="http://schemas.openxmlformats.org/officeDocument/2006/relationships/externalLink" Target="externalLinks/externalLink60.xml"/><Relationship Id="rId73" Type="http://schemas.openxmlformats.org/officeDocument/2006/relationships/externalLink" Target="externalLinks/externalLink68.xml"/><Relationship Id="rId78" Type="http://schemas.openxmlformats.org/officeDocument/2006/relationships/externalLink" Target="externalLinks/externalLink73.xml"/><Relationship Id="rId81" Type="http://schemas.openxmlformats.org/officeDocument/2006/relationships/externalLink" Target="externalLinks/externalLink76.xml"/><Relationship Id="rId86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mensal/taxa de ocupação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Kwh/(evento.m2)</c:v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Mod_2!$X$5:$X$16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Mod_2!$Y$5:$Y$16</c:f>
              <c:numCache>
                <c:formatCode>#,##0.00</c:formatCode>
                <c:ptCount val="12"/>
                <c:pt idx="0">
                  <c:v>0.35368311145088299</c:v>
                </c:pt>
                <c:pt idx="1">
                  <c:v>0.36180841921271628</c:v>
                </c:pt>
                <c:pt idx="2">
                  <c:v>0.32189440527372054</c:v>
                </c:pt>
                <c:pt idx="3">
                  <c:v>0.31109751239297073</c:v>
                </c:pt>
                <c:pt idx="4">
                  <c:v>0.28041073689691515</c:v>
                </c:pt>
                <c:pt idx="5">
                  <c:v>0.29423339919049396</c:v>
                </c:pt>
                <c:pt idx="6">
                  <c:v>0.28390859807283747</c:v>
                </c:pt>
                <c:pt idx="7">
                  <c:v>0.27333856781171739</c:v>
                </c:pt>
                <c:pt idx="8">
                  <c:v>0.30242685034586009</c:v>
                </c:pt>
                <c:pt idx="9">
                  <c:v>0.26176513761877657</c:v>
                </c:pt>
                <c:pt idx="10">
                  <c:v>0.2678236211308736</c:v>
                </c:pt>
                <c:pt idx="11">
                  <c:v>0.31754165608835738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109632"/>
        <c:axId val="121381248"/>
      </c:barChart>
      <c:catAx>
        <c:axId val="113109632"/>
        <c:scaling>
          <c:orientation val="minMax"/>
        </c:scaling>
        <c:delete val="0"/>
        <c:axPos val="b"/>
        <c:majorTickMark val="out"/>
        <c:minorTickMark val="none"/>
        <c:tickLblPos val="nextTo"/>
        <c:crossAx val="121381248"/>
        <c:crosses val="autoZero"/>
        <c:auto val="1"/>
        <c:lblAlgn val="ctr"/>
        <c:lblOffset val="100"/>
        <c:noMultiLvlLbl val="0"/>
      </c:catAx>
      <c:valAx>
        <c:axId val="121381248"/>
        <c:scaling>
          <c:orientation val="minMax"/>
          <c:max val="0.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kWh/(Evento.m</a:t>
                </a:r>
                <a:r>
                  <a:rPr lang="pt-PT" baseline="30000"/>
                  <a:t>2</a:t>
                </a:r>
                <a:r>
                  <a:rPr lang="pt-PT"/>
                  <a:t>)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13109632"/>
        <c:crosses val="autoZero"/>
        <c:crossBetween val="between"/>
        <c:majorUnit val="0.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Global Mensal/Área - "Antes"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FimOcup.Foyer_2!$C$8:$C$19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FimOcup.Foyer_2!$E$8:$E$19</c:f>
              <c:numCache>
                <c:formatCode>#,##0.00</c:formatCode>
                <c:ptCount val="12"/>
                <c:pt idx="0">
                  <c:v>6.2840712501521487</c:v>
                </c:pt>
                <c:pt idx="1">
                  <c:v>6.2382621614609048</c:v>
                </c:pt>
                <c:pt idx="2">
                  <c:v>6.4322671418110833</c:v>
                </c:pt>
                <c:pt idx="3">
                  <c:v>5.6493781336711297</c:v>
                </c:pt>
                <c:pt idx="4">
                  <c:v>5.3264601045945597</c:v>
                </c:pt>
                <c:pt idx="5">
                  <c:v>5.4343883557402091</c:v>
                </c:pt>
                <c:pt idx="6">
                  <c:v>5.6202374136814344</c:v>
                </c:pt>
                <c:pt idx="7">
                  <c:v>3.7972192105655385</c:v>
                </c:pt>
                <c:pt idx="8">
                  <c:v>5.4959391929022061</c:v>
                </c:pt>
                <c:pt idx="9">
                  <c:v>4.941805135666459</c:v>
                </c:pt>
                <c:pt idx="10">
                  <c:v>5.0341689079975014</c:v>
                </c:pt>
                <c:pt idx="11">
                  <c:v>6.4070143388766976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624768"/>
        <c:axId val="136782208"/>
      </c:barChart>
      <c:catAx>
        <c:axId val="136624768"/>
        <c:scaling>
          <c:orientation val="minMax"/>
        </c:scaling>
        <c:delete val="0"/>
        <c:axPos val="b"/>
        <c:majorTickMark val="out"/>
        <c:minorTickMark val="none"/>
        <c:tickLblPos val="nextTo"/>
        <c:crossAx val="136782208"/>
        <c:crosses val="autoZero"/>
        <c:auto val="1"/>
        <c:lblAlgn val="ctr"/>
        <c:lblOffset val="100"/>
        <c:noMultiLvlLbl val="0"/>
      </c:catAx>
      <c:valAx>
        <c:axId val="136782208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136624768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 b="1" i="0" baseline="0">
                <a:effectLst/>
              </a:rPr>
              <a:t>Consumo Médio Global Mensal/Área - "Depois"</a:t>
            </a:r>
            <a:endParaRPr lang="pt-PT" sz="12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rgbClr val="C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FimOcup.Foyer_2!$G$8:$G$19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FimOcup.Foyer_2!$I$8:$I$19</c:f>
              <c:numCache>
                <c:formatCode>#,##0.00</c:formatCode>
                <c:ptCount val="12"/>
                <c:pt idx="0">
                  <c:v>5.9364372277935615</c:v>
                </c:pt>
                <c:pt idx="1">
                  <c:v>5.8153895276658005</c:v>
                </c:pt>
                <c:pt idx="2">
                  <c:v>4.5989765757102843</c:v>
                </c:pt>
                <c:pt idx="3">
                  <c:v>4.1251686904250979</c:v>
                </c:pt>
                <c:pt idx="4">
                  <c:v>4.6672170771011965</c:v>
                </c:pt>
                <c:pt idx="5">
                  <c:v>4.4109866978445291</c:v>
                </c:pt>
                <c:pt idx="6">
                  <c:v>4.008159964859999</c:v>
                </c:pt>
                <c:pt idx="7">
                  <c:v>3.0149560394073829</c:v>
                </c:pt>
                <c:pt idx="8">
                  <c:v>4.1631566350676712</c:v>
                </c:pt>
                <c:pt idx="9">
                  <c:v>4.2252821221449235</c:v>
                </c:pt>
                <c:pt idx="10">
                  <c:v>4.3667427475346337</c:v>
                </c:pt>
                <c:pt idx="11">
                  <c:v>4.6369248992399807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790784"/>
        <c:axId val="136792320"/>
      </c:barChart>
      <c:catAx>
        <c:axId val="136790784"/>
        <c:scaling>
          <c:orientation val="minMax"/>
        </c:scaling>
        <c:delete val="0"/>
        <c:axPos val="b"/>
        <c:majorTickMark val="out"/>
        <c:minorTickMark val="none"/>
        <c:tickLblPos val="nextTo"/>
        <c:crossAx val="136792320"/>
        <c:crosses val="autoZero"/>
        <c:auto val="1"/>
        <c:lblAlgn val="ctr"/>
        <c:lblOffset val="100"/>
        <c:noMultiLvlLbl val="0"/>
      </c:catAx>
      <c:valAx>
        <c:axId val="136792320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136790784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Consumo Médio Global Mensal/Área - "Antes&amp;Depois"</a:t>
            </a:r>
            <a:endParaRPr lang="pt-PT" sz="11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chemeClr val="accent1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FimOcup.Foyer_2!$C$8:$C$19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FimOcup.Foyer_2!$E$8:$E$19</c:f>
              <c:numCache>
                <c:formatCode>#,##0.00</c:formatCode>
                <c:ptCount val="12"/>
                <c:pt idx="0">
                  <c:v>6.2840712501521487</c:v>
                </c:pt>
                <c:pt idx="1">
                  <c:v>6.2382621614609048</c:v>
                </c:pt>
                <c:pt idx="2">
                  <c:v>6.4322671418110833</c:v>
                </c:pt>
                <c:pt idx="3">
                  <c:v>5.6493781336711297</c:v>
                </c:pt>
                <c:pt idx="4">
                  <c:v>5.3264601045945597</c:v>
                </c:pt>
                <c:pt idx="5">
                  <c:v>5.4343883557402091</c:v>
                </c:pt>
                <c:pt idx="6">
                  <c:v>5.6202374136814344</c:v>
                </c:pt>
                <c:pt idx="7">
                  <c:v>3.7972192105655385</c:v>
                </c:pt>
                <c:pt idx="8">
                  <c:v>5.4959391929022061</c:v>
                </c:pt>
                <c:pt idx="9">
                  <c:v>4.941805135666459</c:v>
                </c:pt>
                <c:pt idx="10">
                  <c:v>5.0341689079975014</c:v>
                </c:pt>
                <c:pt idx="11">
                  <c:v>6.4070143388766976</c:v>
                </c:pt>
              </c:numCache>
            </c:numRef>
          </c:val>
        </c:ser>
        <c:ser>
          <c:idx val="1"/>
          <c:order val="1"/>
          <c:tx>
            <c:v>Kwh/m2</c:v>
          </c:tx>
          <c:spPr>
            <a:solidFill>
              <a:srgbClr val="C0000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FimOcup.Foyer_2!$I$8:$I$19</c:f>
              <c:numCache>
                <c:formatCode>#,##0.00</c:formatCode>
                <c:ptCount val="12"/>
                <c:pt idx="0">
                  <c:v>5.9364372277935615</c:v>
                </c:pt>
                <c:pt idx="1">
                  <c:v>5.8153895276658005</c:v>
                </c:pt>
                <c:pt idx="2">
                  <c:v>4.5989765757102843</c:v>
                </c:pt>
                <c:pt idx="3">
                  <c:v>4.1251686904250979</c:v>
                </c:pt>
                <c:pt idx="4">
                  <c:v>4.6672170771011965</c:v>
                </c:pt>
                <c:pt idx="5">
                  <c:v>4.4109866978445291</c:v>
                </c:pt>
                <c:pt idx="6">
                  <c:v>4.008159964859999</c:v>
                </c:pt>
                <c:pt idx="7">
                  <c:v>3.0149560394073829</c:v>
                </c:pt>
                <c:pt idx="8">
                  <c:v>4.1631566350676712</c:v>
                </c:pt>
                <c:pt idx="9">
                  <c:v>4.2252821221449235</c:v>
                </c:pt>
                <c:pt idx="10">
                  <c:v>4.3667427475346337</c:v>
                </c:pt>
                <c:pt idx="11">
                  <c:v>4.6369248992399807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22784"/>
        <c:axId val="136824320"/>
      </c:barChart>
      <c:catAx>
        <c:axId val="136822784"/>
        <c:scaling>
          <c:orientation val="minMax"/>
        </c:scaling>
        <c:delete val="0"/>
        <c:axPos val="b"/>
        <c:majorTickMark val="none"/>
        <c:minorTickMark val="none"/>
        <c:tickLblPos val="nextTo"/>
        <c:crossAx val="136824320"/>
        <c:crosses val="autoZero"/>
        <c:auto val="1"/>
        <c:lblAlgn val="ctr"/>
        <c:lblOffset val="100"/>
        <c:noMultiLvlLbl val="0"/>
      </c:catAx>
      <c:valAx>
        <c:axId val="136824320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crossAx val="136822784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 Mensal de AC Frio/Área  - "Antes"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FimOcup.Foyer_2!$C$24:$C$35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FimOcup.Foyer_2!$E$24:$E$35</c:f>
              <c:numCache>
                <c:formatCode>#,##0.00</c:formatCode>
                <c:ptCount val="12"/>
                <c:pt idx="0">
                  <c:v>1.6060496932550095</c:v>
                </c:pt>
                <c:pt idx="1">
                  <c:v>1.7070227466668968</c:v>
                </c:pt>
                <c:pt idx="2">
                  <c:v>2.1829808182152286</c:v>
                </c:pt>
                <c:pt idx="3">
                  <c:v>2.1907172466705429</c:v>
                </c:pt>
                <c:pt idx="4">
                  <c:v>2.2911073628453069</c:v>
                </c:pt>
                <c:pt idx="5">
                  <c:v>2.7915952848109793</c:v>
                </c:pt>
                <c:pt idx="6">
                  <c:v>2.9489524761212453</c:v>
                </c:pt>
                <c:pt idx="7">
                  <c:v>1.812037075211121</c:v>
                </c:pt>
                <c:pt idx="8">
                  <c:v>2.4752581116025705</c:v>
                </c:pt>
                <c:pt idx="9">
                  <c:v>2.2764459020931831</c:v>
                </c:pt>
                <c:pt idx="10">
                  <c:v>1.7759445295379124</c:v>
                </c:pt>
                <c:pt idx="11">
                  <c:v>1.751085037384791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5184"/>
        <c:axId val="136846720"/>
      </c:barChart>
      <c:catAx>
        <c:axId val="136845184"/>
        <c:scaling>
          <c:orientation val="minMax"/>
        </c:scaling>
        <c:delete val="0"/>
        <c:axPos val="b"/>
        <c:majorTickMark val="out"/>
        <c:minorTickMark val="none"/>
        <c:tickLblPos val="nextTo"/>
        <c:crossAx val="136846720"/>
        <c:crosses val="autoZero"/>
        <c:auto val="1"/>
        <c:lblAlgn val="ctr"/>
        <c:lblOffset val="100"/>
        <c:noMultiLvlLbl val="0"/>
      </c:catAx>
      <c:valAx>
        <c:axId val="136846720"/>
        <c:scaling>
          <c:orientation val="minMax"/>
          <c:max val="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684518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Mensal de AC Frio/Área  - "Depois"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rgbClr val="C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FimOcup.Foyer_2!$G$24:$G$35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FimOcup.Foyer_2!$I$24:$I$35</c:f>
              <c:numCache>
                <c:formatCode>#,##0.00</c:formatCode>
                <c:ptCount val="12"/>
                <c:pt idx="0">
                  <c:v>1.3962272376674918</c:v>
                </c:pt>
                <c:pt idx="1">
                  <c:v>1.1963284303032262</c:v>
                </c:pt>
                <c:pt idx="2">
                  <c:v>1.3160410596945566</c:v>
                </c:pt>
                <c:pt idx="3">
                  <c:v>1.4569903162429614</c:v>
                </c:pt>
                <c:pt idx="4">
                  <c:v>1.9904193865650526</c:v>
                </c:pt>
                <c:pt idx="5">
                  <c:v>1.9993983968127047</c:v>
                </c:pt>
                <c:pt idx="6">
                  <c:v>1.8004594032572245</c:v>
                </c:pt>
                <c:pt idx="7">
                  <c:v>1.2439428986569623</c:v>
                </c:pt>
                <c:pt idx="8">
                  <c:v>1.8969564522231754</c:v>
                </c:pt>
                <c:pt idx="9">
                  <c:v>1.8769668747124584</c:v>
                </c:pt>
                <c:pt idx="10">
                  <c:v>1.4599186248693936</c:v>
                </c:pt>
                <c:pt idx="11">
                  <c:v>1.085389551814647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80128"/>
        <c:axId val="136881664"/>
      </c:barChart>
      <c:catAx>
        <c:axId val="136880128"/>
        <c:scaling>
          <c:orientation val="minMax"/>
        </c:scaling>
        <c:delete val="0"/>
        <c:axPos val="b"/>
        <c:majorTickMark val="out"/>
        <c:minorTickMark val="none"/>
        <c:tickLblPos val="nextTo"/>
        <c:crossAx val="136881664"/>
        <c:crosses val="autoZero"/>
        <c:auto val="1"/>
        <c:lblAlgn val="ctr"/>
        <c:lblOffset val="100"/>
        <c:noMultiLvlLbl val="0"/>
      </c:catAx>
      <c:valAx>
        <c:axId val="136881664"/>
        <c:scaling>
          <c:orientation val="minMax"/>
          <c:max val="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688012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Mensal de AC Frio/Área  - "Antes &amp; Depois"</a:t>
            </a:r>
            <a:endParaRPr lang="pt-PT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chemeClr val="accent1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FimOcup.Foyer_2!$C$24:$C$35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FimOcup.Foyer_2!$E$24:$E$35</c:f>
              <c:numCache>
                <c:formatCode>#,##0.00</c:formatCode>
                <c:ptCount val="12"/>
                <c:pt idx="0">
                  <c:v>1.6060496932550095</c:v>
                </c:pt>
                <c:pt idx="1">
                  <c:v>1.7070227466668968</c:v>
                </c:pt>
                <c:pt idx="2">
                  <c:v>2.1829808182152286</c:v>
                </c:pt>
                <c:pt idx="3">
                  <c:v>2.1907172466705429</c:v>
                </c:pt>
                <c:pt idx="4">
                  <c:v>2.2911073628453069</c:v>
                </c:pt>
                <c:pt idx="5">
                  <c:v>2.7915952848109793</c:v>
                </c:pt>
                <c:pt idx="6">
                  <c:v>2.9489524761212453</c:v>
                </c:pt>
                <c:pt idx="7">
                  <c:v>1.812037075211121</c:v>
                </c:pt>
                <c:pt idx="8">
                  <c:v>2.4752581116025705</c:v>
                </c:pt>
                <c:pt idx="9">
                  <c:v>2.2764459020931831</c:v>
                </c:pt>
                <c:pt idx="10">
                  <c:v>1.7759445295379124</c:v>
                </c:pt>
                <c:pt idx="11">
                  <c:v>1.751085037384791</c:v>
                </c:pt>
              </c:numCache>
            </c:numRef>
          </c:val>
        </c:ser>
        <c:ser>
          <c:idx val="1"/>
          <c:order val="1"/>
          <c:tx>
            <c:v>Kwh/m2</c:v>
          </c:tx>
          <c:spPr>
            <a:solidFill>
              <a:srgbClr val="C0000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FimOcup.Foyer_2!$I$24:$I$35</c:f>
              <c:numCache>
                <c:formatCode>#,##0.00</c:formatCode>
                <c:ptCount val="12"/>
                <c:pt idx="0">
                  <c:v>1.3962272376674918</c:v>
                </c:pt>
                <c:pt idx="1">
                  <c:v>1.1963284303032262</c:v>
                </c:pt>
                <c:pt idx="2">
                  <c:v>1.3160410596945566</c:v>
                </c:pt>
                <c:pt idx="3">
                  <c:v>1.4569903162429614</c:v>
                </c:pt>
                <c:pt idx="4">
                  <c:v>1.9904193865650526</c:v>
                </c:pt>
                <c:pt idx="5">
                  <c:v>1.9993983968127047</c:v>
                </c:pt>
                <c:pt idx="6">
                  <c:v>1.8004594032572245</c:v>
                </c:pt>
                <c:pt idx="7">
                  <c:v>1.2439428986569623</c:v>
                </c:pt>
                <c:pt idx="8">
                  <c:v>1.8969564522231754</c:v>
                </c:pt>
                <c:pt idx="9">
                  <c:v>1.8769668747124584</c:v>
                </c:pt>
                <c:pt idx="10">
                  <c:v>1.4599186248693936</c:v>
                </c:pt>
                <c:pt idx="11">
                  <c:v>1.085389551814647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911872"/>
        <c:axId val="136925952"/>
      </c:barChart>
      <c:catAx>
        <c:axId val="136911872"/>
        <c:scaling>
          <c:orientation val="minMax"/>
        </c:scaling>
        <c:delete val="0"/>
        <c:axPos val="b"/>
        <c:majorTickMark val="none"/>
        <c:minorTickMark val="none"/>
        <c:tickLblPos val="nextTo"/>
        <c:crossAx val="136925952"/>
        <c:crosses val="autoZero"/>
        <c:auto val="1"/>
        <c:lblAlgn val="ctr"/>
        <c:lblOffset val="100"/>
        <c:noMultiLvlLbl val="0"/>
      </c:catAx>
      <c:valAx>
        <c:axId val="136925952"/>
        <c:scaling>
          <c:orientation val="minMax"/>
          <c:max val="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crossAx val="13691187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 Mensal de AC Quente/Área  - "Antes"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FimOcup.Foyer_2!$C$40:$C$51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FimOcup.Foyer_2!$E$40:$E$51</c:f>
              <c:numCache>
                <c:formatCode>#,##0.00</c:formatCode>
                <c:ptCount val="12"/>
                <c:pt idx="0">
                  <c:v>2.133177249739818</c:v>
                </c:pt>
                <c:pt idx="1">
                  <c:v>2.1296132467338076</c:v>
                </c:pt>
                <c:pt idx="2">
                  <c:v>1.5473852877146221</c:v>
                </c:pt>
                <c:pt idx="3">
                  <c:v>0.39361712879880528</c:v>
                </c:pt>
                <c:pt idx="4">
                  <c:v>0</c:v>
                </c:pt>
                <c:pt idx="5">
                  <c:v>0</c:v>
                </c:pt>
                <c:pt idx="6">
                  <c:v>4.9278405868810474E-6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0.92250727868823201</c:v>
                </c:pt>
                <c:pt idx="11">
                  <c:v>2.1027489261869219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946816"/>
        <c:axId val="136948352"/>
      </c:barChart>
      <c:catAx>
        <c:axId val="136946816"/>
        <c:scaling>
          <c:orientation val="minMax"/>
        </c:scaling>
        <c:delete val="0"/>
        <c:axPos val="b"/>
        <c:majorTickMark val="out"/>
        <c:minorTickMark val="none"/>
        <c:tickLblPos val="nextTo"/>
        <c:crossAx val="136948352"/>
        <c:crosses val="autoZero"/>
        <c:auto val="1"/>
        <c:lblAlgn val="ctr"/>
        <c:lblOffset val="100"/>
        <c:noMultiLvlLbl val="0"/>
      </c:catAx>
      <c:valAx>
        <c:axId val="136948352"/>
        <c:scaling>
          <c:orientation val="minMax"/>
          <c:max val="5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6946816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Mensal de AC Quente/Área  - "Depois"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</c:spPr>
          <c:invertIfNegative val="0"/>
          <c:dLbls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FimOcup.Foyer_2!$G$40:$G$51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FimOcup.Foyer_2!$I$40:$I$51</c:f>
              <c:numCache>
                <c:formatCode>#,##0.00</c:formatCode>
                <c:ptCount val="12"/>
                <c:pt idx="0">
                  <c:v>2.0423146059234782</c:v>
                </c:pt>
                <c:pt idx="1">
                  <c:v>1.9427222021891193</c:v>
                </c:pt>
                <c:pt idx="2">
                  <c:v>0.74371839305987764</c:v>
                </c:pt>
                <c:pt idx="3">
                  <c:v>0.1465585135761667</c:v>
                </c:pt>
                <c:pt idx="4">
                  <c:v>1.4962771334661054E-2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1.3388690668258506E-2</c:v>
                </c:pt>
                <c:pt idx="10">
                  <c:v>0.75179040859940671</c:v>
                </c:pt>
                <c:pt idx="11">
                  <c:v>1.4049425581343677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961024"/>
        <c:axId val="136975104"/>
      </c:barChart>
      <c:catAx>
        <c:axId val="136961024"/>
        <c:scaling>
          <c:orientation val="minMax"/>
        </c:scaling>
        <c:delete val="0"/>
        <c:axPos val="b"/>
        <c:majorTickMark val="out"/>
        <c:minorTickMark val="none"/>
        <c:tickLblPos val="nextTo"/>
        <c:crossAx val="136975104"/>
        <c:crosses val="autoZero"/>
        <c:auto val="1"/>
        <c:lblAlgn val="ctr"/>
        <c:lblOffset val="100"/>
        <c:noMultiLvlLbl val="0"/>
      </c:catAx>
      <c:valAx>
        <c:axId val="136975104"/>
        <c:scaling>
          <c:orientation val="minMax"/>
          <c:max val="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696102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Mensal de AC Quente/Área  - "Antes &amp; Depois"</a:t>
            </a:r>
            <a:endParaRPr lang="pt-PT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FimOcup.Foyer_2!$C$40:$C$51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FimOcup.Foyer_2!$E$40:$E$51</c:f>
              <c:numCache>
                <c:formatCode>#,##0.00</c:formatCode>
                <c:ptCount val="12"/>
                <c:pt idx="0">
                  <c:v>2.133177249739818</c:v>
                </c:pt>
                <c:pt idx="1">
                  <c:v>2.1296132467338076</c:v>
                </c:pt>
                <c:pt idx="2">
                  <c:v>1.5473852877146221</c:v>
                </c:pt>
                <c:pt idx="3">
                  <c:v>0.39361712879880528</c:v>
                </c:pt>
                <c:pt idx="4">
                  <c:v>0</c:v>
                </c:pt>
                <c:pt idx="5">
                  <c:v>0</c:v>
                </c:pt>
                <c:pt idx="6">
                  <c:v>4.9278405868810474E-6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0.92250727868823201</c:v>
                </c:pt>
                <c:pt idx="11">
                  <c:v>2.1027489261869219</c:v>
                </c:pt>
              </c:numCache>
            </c:numRef>
          </c:val>
        </c:ser>
        <c:ser>
          <c:idx val="1"/>
          <c:order val="1"/>
          <c:spPr>
            <a:solidFill>
              <a:srgbClr val="C00000"/>
            </a:solidFill>
          </c:spPr>
          <c:invertIfNegative val="0"/>
          <c:dLbls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FimOcup.Foyer_2!$C$40:$C$51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FimOcup.Foyer_2!$I$40:$I$51</c:f>
              <c:numCache>
                <c:formatCode>#,##0.00</c:formatCode>
                <c:ptCount val="12"/>
                <c:pt idx="0">
                  <c:v>2.0423146059234782</c:v>
                </c:pt>
                <c:pt idx="1">
                  <c:v>1.9427222021891193</c:v>
                </c:pt>
                <c:pt idx="2">
                  <c:v>0.74371839305987764</c:v>
                </c:pt>
                <c:pt idx="3">
                  <c:v>0.1465585135761667</c:v>
                </c:pt>
                <c:pt idx="4">
                  <c:v>1.4962771334661054E-2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1.3388690668258506E-2</c:v>
                </c:pt>
                <c:pt idx="10">
                  <c:v>0.75179040859940671</c:v>
                </c:pt>
                <c:pt idx="11">
                  <c:v>1.4049425581343677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009408"/>
        <c:axId val="137027584"/>
      </c:barChart>
      <c:catAx>
        <c:axId val="137009408"/>
        <c:scaling>
          <c:orientation val="minMax"/>
        </c:scaling>
        <c:delete val="0"/>
        <c:axPos val="b"/>
        <c:majorTickMark val="none"/>
        <c:minorTickMark val="none"/>
        <c:tickLblPos val="nextTo"/>
        <c:crossAx val="137027584"/>
        <c:crosses val="autoZero"/>
        <c:auto val="1"/>
        <c:lblAlgn val="ctr"/>
        <c:lblOffset val="100"/>
        <c:noMultiLvlLbl val="0"/>
      </c:catAx>
      <c:valAx>
        <c:axId val="137027584"/>
        <c:scaling>
          <c:orientation val="minMax"/>
          <c:max val="5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crossAx val="13700940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Consumo Médio  Mensal de Iluminação&amp;Tomadas/Área  - "Antes"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FimOcup.Foyer_2!$C$56:$C$67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FimOcup.Foyer_2!$E$56:$E$67</c:f>
              <c:numCache>
                <c:formatCode>#,##0.00</c:formatCode>
                <c:ptCount val="12"/>
                <c:pt idx="0">
                  <c:v>2.5448443071573212</c:v>
                </c:pt>
                <c:pt idx="1">
                  <c:v>2.4016261680602002</c:v>
                </c:pt>
                <c:pt idx="2">
                  <c:v>2.7019010358812325</c:v>
                </c:pt>
                <c:pt idx="3">
                  <c:v>3.0650437582017829</c:v>
                </c:pt>
                <c:pt idx="4">
                  <c:v>3.0353527417492523</c:v>
                </c:pt>
                <c:pt idx="5">
                  <c:v>2.6427930709292298</c:v>
                </c:pt>
                <c:pt idx="6">
                  <c:v>2.6712800097196023</c:v>
                </c:pt>
                <c:pt idx="7">
                  <c:v>1.9851821353544179</c:v>
                </c:pt>
                <c:pt idx="8">
                  <c:v>3.0206810812996361</c:v>
                </c:pt>
                <c:pt idx="9">
                  <c:v>2.6653592335732759</c:v>
                </c:pt>
                <c:pt idx="10">
                  <c:v>2.3357170997713572</c:v>
                </c:pt>
                <c:pt idx="11">
                  <c:v>2.5531803753049838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036160"/>
        <c:axId val="137037696"/>
      </c:barChart>
      <c:catAx>
        <c:axId val="137036160"/>
        <c:scaling>
          <c:orientation val="minMax"/>
        </c:scaling>
        <c:delete val="0"/>
        <c:axPos val="b"/>
        <c:majorTickMark val="out"/>
        <c:minorTickMark val="none"/>
        <c:tickLblPos val="nextTo"/>
        <c:crossAx val="137037696"/>
        <c:crosses val="autoZero"/>
        <c:auto val="1"/>
        <c:lblAlgn val="ctr"/>
        <c:lblOffset val="100"/>
        <c:noMultiLvlLbl val="0"/>
      </c:catAx>
      <c:valAx>
        <c:axId val="137037696"/>
        <c:scaling>
          <c:orientation val="minMax"/>
          <c:max val="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7036160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PT" sz="1200"/>
              <a:t>Consumo médio mensal/área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Mod_2!$X$5:$X$16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Mod_2!$Z$5:$Z$16</c:f>
              <c:numCache>
                <c:formatCode>#,##0.00</c:formatCode>
                <c:ptCount val="12"/>
                <c:pt idx="0">
                  <c:v>6.1102542389728542</c:v>
                </c:pt>
                <c:pt idx="1">
                  <c:v>6.0268258445633522</c:v>
                </c:pt>
                <c:pt idx="2">
                  <c:v>5.210073431077217</c:v>
                </c:pt>
                <c:pt idx="3">
                  <c:v>4.6332385048404419</c:v>
                </c:pt>
                <c:pt idx="4">
                  <c:v>4.8869647529323172</c:v>
                </c:pt>
                <c:pt idx="5">
                  <c:v>4.7521205838097558</c:v>
                </c:pt>
                <c:pt idx="6">
                  <c:v>4.5455191144671447</c:v>
                </c:pt>
                <c:pt idx="7">
                  <c:v>3.2757104297934347</c:v>
                </c:pt>
                <c:pt idx="8">
                  <c:v>4.6074174876791831</c:v>
                </c:pt>
                <c:pt idx="9">
                  <c:v>4.464123126652102</c:v>
                </c:pt>
                <c:pt idx="10">
                  <c:v>4.5892181343555896</c:v>
                </c:pt>
                <c:pt idx="11">
                  <c:v>5.22695471245222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433024"/>
        <c:axId val="136471680"/>
      </c:barChart>
      <c:catAx>
        <c:axId val="136433024"/>
        <c:scaling>
          <c:orientation val="minMax"/>
        </c:scaling>
        <c:delete val="0"/>
        <c:axPos val="b"/>
        <c:majorTickMark val="out"/>
        <c:minorTickMark val="none"/>
        <c:tickLblPos val="nextTo"/>
        <c:crossAx val="136471680"/>
        <c:crosses val="autoZero"/>
        <c:auto val="1"/>
        <c:lblAlgn val="ctr"/>
        <c:lblOffset val="100"/>
        <c:noMultiLvlLbl val="0"/>
      </c:catAx>
      <c:valAx>
        <c:axId val="136471680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6433024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Consumo Médio Mensal de Iluminação&amp;Tomadas/Área  - "Depois"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FimOcup.Foyer_2!$G$56:$G$67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FimOcup.Foyer_2!$I$56:$I$67</c:f>
              <c:numCache>
                <c:formatCode>#,##0.00</c:formatCode>
                <c:ptCount val="12"/>
                <c:pt idx="0">
                  <c:v>2.4978953842025908</c:v>
                </c:pt>
                <c:pt idx="1">
                  <c:v>2.6763388951734552</c:v>
                </c:pt>
                <c:pt idx="2">
                  <c:v>2.5392171229558498</c:v>
                </c:pt>
                <c:pt idx="3">
                  <c:v>2.5216198606059694</c:v>
                </c:pt>
                <c:pt idx="4">
                  <c:v>2.6618349192014832</c:v>
                </c:pt>
                <c:pt idx="5">
                  <c:v>2.4115883010318244</c:v>
                </c:pt>
                <c:pt idx="6">
                  <c:v>2.2077005616027749</c:v>
                </c:pt>
                <c:pt idx="7">
                  <c:v>1.7710131407504206</c:v>
                </c:pt>
                <c:pt idx="8">
                  <c:v>2.2662001828444964</c:v>
                </c:pt>
                <c:pt idx="9">
                  <c:v>2.3349265567642066</c:v>
                </c:pt>
                <c:pt idx="10">
                  <c:v>2.155033714065834</c:v>
                </c:pt>
                <c:pt idx="11">
                  <c:v>2.1465927892909664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070848"/>
        <c:axId val="137080832"/>
      </c:barChart>
      <c:catAx>
        <c:axId val="137070848"/>
        <c:scaling>
          <c:orientation val="minMax"/>
        </c:scaling>
        <c:delete val="0"/>
        <c:axPos val="b"/>
        <c:majorTickMark val="out"/>
        <c:minorTickMark val="none"/>
        <c:tickLblPos val="nextTo"/>
        <c:crossAx val="137080832"/>
        <c:crosses val="autoZero"/>
        <c:auto val="1"/>
        <c:lblAlgn val="ctr"/>
        <c:lblOffset val="100"/>
        <c:noMultiLvlLbl val="0"/>
      </c:catAx>
      <c:valAx>
        <c:axId val="137080832"/>
        <c:scaling>
          <c:orientation val="minMax"/>
          <c:max val="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707084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Consumo Médio Mensal de Iluminação&amp;Tomadas/Área  - "Antes &amp; Depois"</a:t>
            </a:r>
            <a:endParaRPr lang="pt-PT" sz="10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FimOcup.Foyer_2!$C$56:$C$67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FimOcup.Foyer_2!$E$56:$E$67</c:f>
              <c:numCache>
                <c:formatCode>#,##0.00</c:formatCode>
                <c:ptCount val="12"/>
                <c:pt idx="0">
                  <c:v>2.5448443071573212</c:v>
                </c:pt>
                <c:pt idx="1">
                  <c:v>2.4016261680602002</c:v>
                </c:pt>
                <c:pt idx="2">
                  <c:v>2.7019010358812325</c:v>
                </c:pt>
                <c:pt idx="3">
                  <c:v>3.0650437582017829</c:v>
                </c:pt>
                <c:pt idx="4">
                  <c:v>3.0353527417492523</c:v>
                </c:pt>
                <c:pt idx="5">
                  <c:v>2.6427930709292298</c:v>
                </c:pt>
                <c:pt idx="6">
                  <c:v>2.6712800097196023</c:v>
                </c:pt>
                <c:pt idx="7">
                  <c:v>1.9851821353544179</c:v>
                </c:pt>
                <c:pt idx="8">
                  <c:v>3.0206810812996361</c:v>
                </c:pt>
                <c:pt idx="9">
                  <c:v>2.6653592335732759</c:v>
                </c:pt>
                <c:pt idx="10">
                  <c:v>2.3357170997713572</c:v>
                </c:pt>
                <c:pt idx="11">
                  <c:v>2.5531803753049838</c:v>
                </c:pt>
              </c:numCache>
            </c:numRef>
          </c:val>
        </c:ser>
        <c:ser>
          <c:idx val="1"/>
          <c:order val="1"/>
          <c:spPr>
            <a:solidFill>
              <a:srgbClr val="C0000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FimOcup.Foyer_2!$C$56:$C$67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FimOcup.Foyer_2!$I$56:$I$67</c:f>
              <c:numCache>
                <c:formatCode>#,##0.00</c:formatCode>
                <c:ptCount val="12"/>
                <c:pt idx="0">
                  <c:v>2.4978953842025908</c:v>
                </c:pt>
                <c:pt idx="1">
                  <c:v>2.6763388951734552</c:v>
                </c:pt>
                <c:pt idx="2">
                  <c:v>2.5392171229558498</c:v>
                </c:pt>
                <c:pt idx="3">
                  <c:v>2.5216198606059694</c:v>
                </c:pt>
                <c:pt idx="4">
                  <c:v>2.6618349192014832</c:v>
                </c:pt>
                <c:pt idx="5">
                  <c:v>2.4115883010318244</c:v>
                </c:pt>
                <c:pt idx="6">
                  <c:v>2.2077005616027749</c:v>
                </c:pt>
                <c:pt idx="7">
                  <c:v>1.7710131407504206</c:v>
                </c:pt>
                <c:pt idx="8">
                  <c:v>2.2662001828444964</c:v>
                </c:pt>
                <c:pt idx="9">
                  <c:v>2.3349265567642066</c:v>
                </c:pt>
                <c:pt idx="10">
                  <c:v>2.155033714065834</c:v>
                </c:pt>
                <c:pt idx="11">
                  <c:v>2.1465927892909664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131520"/>
        <c:axId val="137133056"/>
      </c:barChart>
      <c:catAx>
        <c:axId val="137131520"/>
        <c:scaling>
          <c:orientation val="minMax"/>
        </c:scaling>
        <c:delete val="0"/>
        <c:axPos val="b"/>
        <c:majorTickMark val="none"/>
        <c:minorTickMark val="none"/>
        <c:tickLblPos val="nextTo"/>
        <c:crossAx val="137133056"/>
        <c:crosses val="autoZero"/>
        <c:auto val="1"/>
        <c:lblAlgn val="ctr"/>
        <c:lblOffset val="100"/>
        <c:noMultiLvlLbl val="0"/>
      </c:catAx>
      <c:valAx>
        <c:axId val="137133056"/>
        <c:scaling>
          <c:orientation val="minMax"/>
          <c:max val="5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crossAx val="137131520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Global Mensal/Área - "Antes"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Chillers_2!$C$8:$C$19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Chillers_2!$E$8:$E$19</c:f>
              <c:numCache>
                <c:formatCode>#,##0.00</c:formatCode>
                <c:ptCount val="12"/>
                <c:pt idx="0">
                  <c:v>6.4732521167152184</c:v>
                </c:pt>
                <c:pt idx="1">
                  <c:v>5.9977011920819976</c:v>
                </c:pt>
                <c:pt idx="2">
                  <c:v>5.543357545364179</c:v>
                </c:pt>
                <c:pt idx="3">
                  <c:v>4.7151703029847791</c:v>
                </c:pt>
                <c:pt idx="4">
                  <c:v>5.0635048840572185</c:v>
                </c:pt>
                <c:pt idx="5">
                  <c:v>4.9321755378245893</c:v>
                </c:pt>
                <c:pt idx="6">
                  <c:v>4.767133082457109</c:v>
                </c:pt>
                <c:pt idx="7">
                  <c:v>3.4510543841103463</c:v>
                </c:pt>
                <c:pt idx="8">
                  <c:v>4.790929232080213</c:v>
                </c:pt>
                <c:pt idx="9">
                  <c:v>4.7730747606019577</c:v>
                </c:pt>
                <c:pt idx="10">
                  <c:v>4.8314004591481057</c:v>
                </c:pt>
                <c:pt idx="11">
                  <c:v>5.8665141786544543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248768"/>
        <c:axId val="137250304"/>
      </c:barChart>
      <c:catAx>
        <c:axId val="137248768"/>
        <c:scaling>
          <c:orientation val="minMax"/>
        </c:scaling>
        <c:delete val="0"/>
        <c:axPos val="b"/>
        <c:majorTickMark val="out"/>
        <c:minorTickMark val="none"/>
        <c:tickLblPos val="nextTo"/>
        <c:crossAx val="137250304"/>
        <c:crosses val="autoZero"/>
        <c:auto val="1"/>
        <c:lblAlgn val="ctr"/>
        <c:lblOffset val="100"/>
        <c:noMultiLvlLbl val="0"/>
      </c:catAx>
      <c:valAx>
        <c:axId val="137250304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137248768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Global Mensal/Área - "Depois"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rgbClr val="C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Chillers_2!$G$8:$G$19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Chillers_2!$I$8:$I$19</c:f>
              <c:numCache>
                <c:formatCode>#,##0.00</c:formatCode>
                <c:ptCount val="12"/>
                <c:pt idx="0">
                  <c:v>4.2952648502610344</c:v>
                </c:pt>
                <c:pt idx="1">
                  <c:v>6.1724491069701264</c:v>
                </c:pt>
                <c:pt idx="2">
                  <c:v>3.5436528596424055</c:v>
                </c:pt>
                <c:pt idx="3">
                  <c:v>4.2235795141187538</c:v>
                </c:pt>
                <c:pt idx="4">
                  <c:v>4.0042640973078134</c:v>
                </c:pt>
                <c:pt idx="5">
                  <c:v>3.8518458137355895</c:v>
                </c:pt>
                <c:pt idx="6">
                  <c:v>3.4374492745173262</c:v>
                </c:pt>
                <c:pt idx="7">
                  <c:v>2.398990658208878</c:v>
                </c:pt>
                <c:pt idx="8">
                  <c:v>3.6898587656740305</c:v>
                </c:pt>
                <c:pt idx="9">
                  <c:v>2.919364956902827</c:v>
                </c:pt>
                <c:pt idx="10">
                  <c:v>4.1048534847705564</c:v>
                </c:pt>
                <c:pt idx="11">
                  <c:v>3.9478357800477513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262976"/>
        <c:axId val="137264512"/>
      </c:barChart>
      <c:catAx>
        <c:axId val="137262976"/>
        <c:scaling>
          <c:orientation val="minMax"/>
        </c:scaling>
        <c:delete val="0"/>
        <c:axPos val="b"/>
        <c:majorTickMark val="out"/>
        <c:minorTickMark val="none"/>
        <c:tickLblPos val="nextTo"/>
        <c:crossAx val="137264512"/>
        <c:crosses val="autoZero"/>
        <c:auto val="1"/>
        <c:lblAlgn val="ctr"/>
        <c:lblOffset val="100"/>
        <c:noMultiLvlLbl val="0"/>
      </c:catAx>
      <c:valAx>
        <c:axId val="137264512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137262976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Global Mensal/Área - "Antes&amp;Depois"</a:t>
            </a:r>
            <a:endParaRPr lang="pt-PT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chemeClr val="accent1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Chillers_2!$C$8:$C$19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Chillers_2!$E$8:$E$19</c:f>
              <c:numCache>
                <c:formatCode>#,##0.00</c:formatCode>
                <c:ptCount val="12"/>
                <c:pt idx="0">
                  <c:v>6.4732521167152184</c:v>
                </c:pt>
                <c:pt idx="1">
                  <c:v>5.9977011920819976</c:v>
                </c:pt>
                <c:pt idx="2">
                  <c:v>5.543357545364179</c:v>
                </c:pt>
                <c:pt idx="3">
                  <c:v>4.7151703029847791</c:v>
                </c:pt>
                <c:pt idx="4">
                  <c:v>5.0635048840572185</c:v>
                </c:pt>
                <c:pt idx="5">
                  <c:v>4.9321755378245893</c:v>
                </c:pt>
                <c:pt idx="6">
                  <c:v>4.767133082457109</c:v>
                </c:pt>
                <c:pt idx="7">
                  <c:v>3.4510543841103463</c:v>
                </c:pt>
                <c:pt idx="8">
                  <c:v>4.790929232080213</c:v>
                </c:pt>
                <c:pt idx="9">
                  <c:v>4.7730747606019577</c:v>
                </c:pt>
                <c:pt idx="10">
                  <c:v>4.8314004591481057</c:v>
                </c:pt>
                <c:pt idx="11">
                  <c:v>5.8665141786544543</c:v>
                </c:pt>
              </c:numCache>
            </c:numRef>
          </c:val>
        </c:ser>
        <c:ser>
          <c:idx val="1"/>
          <c:order val="1"/>
          <c:tx>
            <c:v>Kwh/m2</c:v>
          </c:tx>
          <c:spPr>
            <a:solidFill>
              <a:srgbClr val="C0000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Chillers_2!$I$8:$I$19</c:f>
              <c:numCache>
                <c:formatCode>#,##0.00</c:formatCode>
                <c:ptCount val="12"/>
                <c:pt idx="0">
                  <c:v>4.2952648502610344</c:v>
                </c:pt>
                <c:pt idx="1">
                  <c:v>6.1724491069701264</c:v>
                </c:pt>
                <c:pt idx="2">
                  <c:v>3.5436528596424055</c:v>
                </c:pt>
                <c:pt idx="3">
                  <c:v>4.2235795141187538</c:v>
                </c:pt>
                <c:pt idx="4">
                  <c:v>4.0042640973078134</c:v>
                </c:pt>
                <c:pt idx="5">
                  <c:v>3.8518458137355895</c:v>
                </c:pt>
                <c:pt idx="6">
                  <c:v>3.4374492745173262</c:v>
                </c:pt>
                <c:pt idx="7">
                  <c:v>2.398990658208878</c:v>
                </c:pt>
                <c:pt idx="8">
                  <c:v>3.6898587656740305</c:v>
                </c:pt>
                <c:pt idx="9">
                  <c:v>2.919364956902827</c:v>
                </c:pt>
                <c:pt idx="10">
                  <c:v>4.1048534847705564</c:v>
                </c:pt>
                <c:pt idx="11">
                  <c:v>3.9478357800477513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319552"/>
        <c:axId val="137321088"/>
      </c:barChart>
      <c:catAx>
        <c:axId val="137319552"/>
        <c:scaling>
          <c:orientation val="minMax"/>
        </c:scaling>
        <c:delete val="0"/>
        <c:axPos val="b"/>
        <c:majorTickMark val="none"/>
        <c:minorTickMark val="none"/>
        <c:tickLblPos val="nextTo"/>
        <c:crossAx val="137321088"/>
        <c:crosses val="autoZero"/>
        <c:auto val="1"/>
        <c:lblAlgn val="ctr"/>
        <c:lblOffset val="100"/>
        <c:noMultiLvlLbl val="0"/>
      </c:catAx>
      <c:valAx>
        <c:axId val="137321088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crossAx val="137319552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 Mensal de AC Frio/Área  - "Antes"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Chillers_2!$C$24:$C$35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Chillers_2!$E$24:$E$35</c:f>
              <c:numCache>
                <c:formatCode>#,##0.00</c:formatCode>
                <c:ptCount val="12"/>
                <c:pt idx="0">
                  <c:v>1.6612450961171465</c:v>
                </c:pt>
                <c:pt idx="1">
                  <c:v>1.5399288559105633</c:v>
                </c:pt>
                <c:pt idx="2">
                  <c:v>1.7466728034321832</c:v>
                </c:pt>
                <c:pt idx="3">
                  <c:v>1.813952400487715</c:v>
                </c:pt>
                <c:pt idx="4">
                  <c:v>2.2333082821383465</c:v>
                </c:pt>
                <c:pt idx="5">
                  <c:v>2.4038934663568967</c:v>
                </c:pt>
                <c:pt idx="6">
                  <c:v>2.3169481621320278</c:v>
                </c:pt>
                <c:pt idx="7">
                  <c:v>1.492835823454042</c:v>
                </c:pt>
                <c:pt idx="8">
                  <c:v>2.2347895720247992</c:v>
                </c:pt>
                <c:pt idx="9">
                  <c:v>2.2208490881976628</c:v>
                </c:pt>
                <c:pt idx="10">
                  <c:v>1.7525235038933831</c:v>
                </c:pt>
                <c:pt idx="11">
                  <c:v>1.5994125530741354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337856"/>
        <c:axId val="137360128"/>
      </c:barChart>
      <c:catAx>
        <c:axId val="137337856"/>
        <c:scaling>
          <c:orientation val="minMax"/>
        </c:scaling>
        <c:delete val="0"/>
        <c:axPos val="b"/>
        <c:majorTickMark val="out"/>
        <c:minorTickMark val="none"/>
        <c:tickLblPos val="nextTo"/>
        <c:crossAx val="137360128"/>
        <c:crosses val="autoZero"/>
        <c:auto val="1"/>
        <c:lblAlgn val="ctr"/>
        <c:lblOffset val="100"/>
        <c:noMultiLvlLbl val="0"/>
      </c:catAx>
      <c:valAx>
        <c:axId val="137360128"/>
        <c:scaling>
          <c:orientation val="minMax"/>
          <c:max val="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7337856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Mensal de AC Frio/Área  - "Depois"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rgbClr val="C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Chillers_2!$G$24:$G$35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Chillers_2!$I$24:$I$35</c:f>
              <c:numCache>
                <c:formatCode>#,##0.00</c:formatCode>
                <c:ptCount val="12"/>
                <c:pt idx="0">
                  <c:v>0.70060531218177236</c:v>
                </c:pt>
                <c:pt idx="1">
                  <c:v>1.0104092513575524</c:v>
                </c:pt>
                <c:pt idx="2">
                  <c:v>0.8967618580477672</c:v>
                </c:pt>
                <c:pt idx="3">
                  <c:v>1.1396337558743559</c:v>
                </c:pt>
                <c:pt idx="4">
                  <c:v>1.3773508612590919</c:v>
                </c:pt>
                <c:pt idx="5">
                  <c:v>1.5613168250882956</c:v>
                </c:pt>
                <c:pt idx="6">
                  <c:v>1.5150017546112498</c:v>
                </c:pt>
                <c:pt idx="7">
                  <c:v>1.1356666277798808</c:v>
                </c:pt>
                <c:pt idx="8">
                  <c:v>1.3643941719738473</c:v>
                </c:pt>
                <c:pt idx="9">
                  <c:v>0.95651386204788635</c:v>
                </c:pt>
                <c:pt idx="10">
                  <c:v>1.1907347714899332</c:v>
                </c:pt>
                <c:pt idx="11">
                  <c:v>0.72303903486581378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385088"/>
        <c:axId val="137386624"/>
      </c:barChart>
      <c:catAx>
        <c:axId val="137385088"/>
        <c:scaling>
          <c:orientation val="minMax"/>
        </c:scaling>
        <c:delete val="0"/>
        <c:axPos val="b"/>
        <c:majorTickMark val="out"/>
        <c:minorTickMark val="none"/>
        <c:tickLblPos val="nextTo"/>
        <c:crossAx val="137386624"/>
        <c:crosses val="autoZero"/>
        <c:auto val="1"/>
        <c:lblAlgn val="ctr"/>
        <c:lblOffset val="100"/>
        <c:noMultiLvlLbl val="0"/>
      </c:catAx>
      <c:valAx>
        <c:axId val="137386624"/>
        <c:scaling>
          <c:orientation val="minMax"/>
          <c:max val="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738508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Mensal de AC Frio/Área  - "Antes &amp; Depois"</a:t>
            </a:r>
            <a:endParaRPr lang="pt-PT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chemeClr val="accent1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Chillers_2!$C$24:$C$35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Chillers_2!$E$24:$E$35</c:f>
              <c:numCache>
                <c:formatCode>#,##0.00</c:formatCode>
                <c:ptCount val="12"/>
                <c:pt idx="0">
                  <c:v>1.6612450961171465</c:v>
                </c:pt>
                <c:pt idx="1">
                  <c:v>1.5399288559105633</c:v>
                </c:pt>
                <c:pt idx="2">
                  <c:v>1.7466728034321832</c:v>
                </c:pt>
                <c:pt idx="3">
                  <c:v>1.813952400487715</c:v>
                </c:pt>
                <c:pt idx="4">
                  <c:v>2.2333082821383465</c:v>
                </c:pt>
                <c:pt idx="5">
                  <c:v>2.4038934663568967</c:v>
                </c:pt>
                <c:pt idx="6">
                  <c:v>2.3169481621320278</c:v>
                </c:pt>
                <c:pt idx="7">
                  <c:v>1.492835823454042</c:v>
                </c:pt>
                <c:pt idx="8">
                  <c:v>2.2347895720247992</c:v>
                </c:pt>
                <c:pt idx="9">
                  <c:v>2.2208490881976628</c:v>
                </c:pt>
                <c:pt idx="10">
                  <c:v>1.7525235038933831</c:v>
                </c:pt>
                <c:pt idx="11">
                  <c:v>1.5994125530741354</c:v>
                </c:pt>
              </c:numCache>
            </c:numRef>
          </c:val>
        </c:ser>
        <c:ser>
          <c:idx val="1"/>
          <c:order val="1"/>
          <c:tx>
            <c:v>Kwh/m2</c:v>
          </c:tx>
          <c:spPr>
            <a:solidFill>
              <a:srgbClr val="C0000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Chillers_2!$I$24:$I$35</c:f>
              <c:numCache>
                <c:formatCode>#,##0.00</c:formatCode>
                <c:ptCount val="12"/>
                <c:pt idx="0">
                  <c:v>0.70060531218177236</c:v>
                </c:pt>
                <c:pt idx="1">
                  <c:v>1.0104092513575524</c:v>
                </c:pt>
                <c:pt idx="2">
                  <c:v>0.8967618580477672</c:v>
                </c:pt>
                <c:pt idx="3">
                  <c:v>1.1396337558743559</c:v>
                </c:pt>
                <c:pt idx="4">
                  <c:v>1.3773508612590919</c:v>
                </c:pt>
                <c:pt idx="5">
                  <c:v>1.5613168250882956</c:v>
                </c:pt>
                <c:pt idx="6">
                  <c:v>1.5150017546112498</c:v>
                </c:pt>
                <c:pt idx="7">
                  <c:v>1.1356666277798808</c:v>
                </c:pt>
                <c:pt idx="8">
                  <c:v>1.3643941719738473</c:v>
                </c:pt>
                <c:pt idx="9">
                  <c:v>0.95651386204788635</c:v>
                </c:pt>
                <c:pt idx="10">
                  <c:v>1.1907347714899332</c:v>
                </c:pt>
                <c:pt idx="11">
                  <c:v>0.72303903486581378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421184"/>
        <c:axId val="137422720"/>
      </c:barChart>
      <c:catAx>
        <c:axId val="137421184"/>
        <c:scaling>
          <c:orientation val="minMax"/>
        </c:scaling>
        <c:delete val="0"/>
        <c:axPos val="b"/>
        <c:majorTickMark val="none"/>
        <c:minorTickMark val="none"/>
        <c:tickLblPos val="nextTo"/>
        <c:crossAx val="137422720"/>
        <c:crosses val="autoZero"/>
        <c:auto val="1"/>
        <c:lblAlgn val="ctr"/>
        <c:lblOffset val="100"/>
        <c:noMultiLvlLbl val="0"/>
      </c:catAx>
      <c:valAx>
        <c:axId val="137422720"/>
        <c:scaling>
          <c:orientation val="minMax"/>
          <c:max val="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crossAx val="13742118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Global Mensal/Área - "Antes"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FimOcup.BB_2!$C$8:$C$19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FimOcup.BB_2!$E$8:$E$19</c:f>
              <c:numCache>
                <c:formatCode>#,##0.00</c:formatCode>
                <c:ptCount val="12"/>
                <c:pt idx="0">
                  <c:v>6.8823415522473024</c:v>
                </c:pt>
                <c:pt idx="1">
                  <c:v>6.6329165375999271</c:v>
                </c:pt>
                <c:pt idx="2">
                  <c:v>6.4322671418110833</c:v>
                </c:pt>
                <c:pt idx="3">
                  <c:v>6.1968819008897968</c:v>
                </c:pt>
                <c:pt idx="4">
                  <c:v>5.9528562593598711</c:v>
                </c:pt>
                <c:pt idx="5">
                  <c:v>6.090896124858288</c:v>
                </c:pt>
                <c:pt idx="6">
                  <c:v>6.3104107202965496</c:v>
                </c:pt>
                <c:pt idx="7">
                  <c:v>3.7579999917767157</c:v>
                </c:pt>
                <c:pt idx="8">
                  <c:v>5.6821862838704646</c:v>
                </c:pt>
                <c:pt idx="9">
                  <c:v>5.6259246541247165</c:v>
                </c:pt>
                <c:pt idx="10">
                  <c:v>5.3682796252149174</c:v>
                </c:pt>
                <c:pt idx="11">
                  <c:v>6.4695712724470074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689728"/>
        <c:axId val="137716096"/>
      </c:barChart>
      <c:catAx>
        <c:axId val="137689728"/>
        <c:scaling>
          <c:orientation val="minMax"/>
        </c:scaling>
        <c:delete val="0"/>
        <c:axPos val="b"/>
        <c:majorTickMark val="out"/>
        <c:minorTickMark val="none"/>
        <c:tickLblPos val="nextTo"/>
        <c:crossAx val="137716096"/>
        <c:crosses val="autoZero"/>
        <c:auto val="1"/>
        <c:lblAlgn val="ctr"/>
        <c:lblOffset val="100"/>
        <c:noMultiLvlLbl val="0"/>
      </c:catAx>
      <c:valAx>
        <c:axId val="137716096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137689728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 b="1" i="0" baseline="0">
                <a:effectLst/>
              </a:rPr>
              <a:t>Consumo Médio Global Mensal/Área - "Depois"</a:t>
            </a:r>
            <a:endParaRPr lang="pt-PT" sz="12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rgbClr val="C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FimOcup.BB_2!$G$8:$G$19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FimOcup.BB_2!$I$8:$I$19</c:f>
              <c:numCache>
                <c:formatCode>#,##0.00</c:formatCode>
                <c:ptCount val="12"/>
                <c:pt idx="0">
                  <c:v>5.7242105823356306</c:v>
                </c:pt>
                <c:pt idx="1">
                  <c:v>5.7237804980450662</c:v>
                </c:pt>
                <c:pt idx="2">
                  <c:v>4.5989765757102843</c:v>
                </c:pt>
                <c:pt idx="3">
                  <c:v>4.3205098256305714</c:v>
                </c:pt>
                <c:pt idx="4">
                  <c:v>4.6737864516468068</c:v>
                </c:pt>
                <c:pt idx="5">
                  <c:v>4.4843654756000495</c:v>
                </c:pt>
                <c:pt idx="6">
                  <c:v>4.1925407933012639</c:v>
                </c:pt>
                <c:pt idx="7">
                  <c:v>3.1792525173967783</c:v>
                </c:pt>
                <c:pt idx="8">
                  <c:v>4.3924637284409274</c:v>
                </c:pt>
                <c:pt idx="9">
                  <c:v>4.2317628211575791</c:v>
                </c:pt>
                <c:pt idx="10">
                  <c:v>4.4334058361837236</c:v>
                </c:pt>
                <c:pt idx="11">
                  <c:v>4.9784314004532622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745152"/>
        <c:axId val="137746688"/>
      </c:barChart>
      <c:catAx>
        <c:axId val="137745152"/>
        <c:scaling>
          <c:orientation val="minMax"/>
        </c:scaling>
        <c:delete val="0"/>
        <c:axPos val="b"/>
        <c:majorTickMark val="out"/>
        <c:minorTickMark val="none"/>
        <c:tickLblPos val="nextTo"/>
        <c:crossAx val="137746688"/>
        <c:crosses val="autoZero"/>
        <c:auto val="1"/>
        <c:lblAlgn val="ctr"/>
        <c:lblOffset val="100"/>
        <c:noMultiLvlLbl val="0"/>
      </c:catAx>
      <c:valAx>
        <c:axId val="137746688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137745152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PT" sz="1200"/>
              <a:t>Consumo anual/área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Kwh/(m2.ano)</c:v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Mod_2!$AH$5:$AH$10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Mod_2!$AI$5:$AI$10</c:f>
              <c:numCache>
                <c:formatCode>#,##0.00</c:formatCode>
                <c:ptCount val="6"/>
                <c:pt idx="0">
                  <c:v>73.37257812164782</c:v>
                </c:pt>
                <c:pt idx="1">
                  <c:v>61.935693929060271</c:v>
                </c:pt>
                <c:pt idx="2">
                  <c:v>58.097903439919961</c:v>
                </c:pt>
                <c:pt idx="3">
                  <c:v>58.603390833966955</c:v>
                </c:pt>
                <c:pt idx="4">
                  <c:v>52.573533559176475</c:v>
                </c:pt>
                <c:pt idx="5">
                  <c:v>45.387422285802195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120256"/>
        <c:axId val="143131392"/>
      </c:barChart>
      <c:catAx>
        <c:axId val="14312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3131392"/>
        <c:crosses val="autoZero"/>
        <c:auto val="1"/>
        <c:lblAlgn val="ctr"/>
        <c:lblOffset val="100"/>
        <c:noMultiLvlLbl val="0"/>
      </c:catAx>
      <c:valAx>
        <c:axId val="143131392"/>
        <c:scaling>
          <c:orientation val="minMax"/>
          <c:max val="1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43120256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Consumo Médio Global Mensal/Área - "Antes&amp;Depois"</a:t>
            </a:r>
            <a:endParaRPr lang="pt-PT" sz="11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chemeClr val="accent1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FimOcup.BB_2!$C$8:$C$19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FimOcup.BB_2!$E$8:$E$19</c:f>
              <c:numCache>
                <c:formatCode>#,##0.00</c:formatCode>
                <c:ptCount val="12"/>
                <c:pt idx="0">
                  <c:v>6.8823415522473024</c:v>
                </c:pt>
                <c:pt idx="1">
                  <c:v>6.6329165375999271</c:v>
                </c:pt>
                <c:pt idx="2">
                  <c:v>6.4322671418110833</c:v>
                </c:pt>
                <c:pt idx="3">
                  <c:v>6.1968819008897968</c:v>
                </c:pt>
                <c:pt idx="4">
                  <c:v>5.9528562593598711</c:v>
                </c:pt>
                <c:pt idx="5">
                  <c:v>6.090896124858288</c:v>
                </c:pt>
                <c:pt idx="6">
                  <c:v>6.3104107202965496</c:v>
                </c:pt>
                <c:pt idx="7">
                  <c:v>3.7579999917767157</c:v>
                </c:pt>
                <c:pt idx="8">
                  <c:v>5.6821862838704646</c:v>
                </c:pt>
                <c:pt idx="9">
                  <c:v>5.6259246541247165</c:v>
                </c:pt>
                <c:pt idx="10">
                  <c:v>5.3682796252149174</c:v>
                </c:pt>
                <c:pt idx="11">
                  <c:v>6.4695712724470074</c:v>
                </c:pt>
              </c:numCache>
            </c:numRef>
          </c:val>
        </c:ser>
        <c:ser>
          <c:idx val="1"/>
          <c:order val="1"/>
          <c:tx>
            <c:v>Kwh/m2</c:v>
          </c:tx>
          <c:spPr>
            <a:solidFill>
              <a:srgbClr val="C0000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FimOcup.BB_2!$I$8:$I$19</c:f>
              <c:numCache>
                <c:formatCode>#,##0.00</c:formatCode>
                <c:ptCount val="12"/>
                <c:pt idx="0">
                  <c:v>5.7242105823356306</c:v>
                </c:pt>
                <c:pt idx="1">
                  <c:v>5.7237804980450662</c:v>
                </c:pt>
                <c:pt idx="2">
                  <c:v>4.5989765757102843</c:v>
                </c:pt>
                <c:pt idx="3">
                  <c:v>4.3205098256305714</c:v>
                </c:pt>
                <c:pt idx="4">
                  <c:v>4.6737864516468068</c:v>
                </c:pt>
                <c:pt idx="5">
                  <c:v>4.4843654756000495</c:v>
                </c:pt>
                <c:pt idx="6">
                  <c:v>4.1925407933012639</c:v>
                </c:pt>
                <c:pt idx="7">
                  <c:v>3.1792525173967783</c:v>
                </c:pt>
                <c:pt idx="8">
                  <c:v>4.3924637284409274</c:v>
                </c:pt>
                <c:pt idx="9">
                  <c:v>4.2317628211575791</c:v>
                </c:pt>
                <c:pt idx="10">
                  <c:v>4.4334058361837236</c:v>
                </c:pt>
                <c:pt idx="11">
                  <c:v>4.9784314004532622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859072"/>
        <c:axId val="137860608"/>
      </c:barChart>
      <c:catAx>
        <c:axId val="137859072"/>
        <c:scaling>
          <c:orientation val="minMax"/>
        </c:scaling>
        <c:delete val="0"/>
        <c:axPos val="b"/>
        <c:majorTickMark val="none"/>
        <c:minorTickMark val="none"/>
        <c:tickLblPos val="nextTo"/>
        <c:crossAx val="137860608"/>
        <c:crosses val="autoZero"/>
        <c:auto val="1"/>
        <c:lblAlgn val="ctr"/>
        <c:lblOffset val="100"/>
        <c:noMultiLvlLbl val="0"/>
      </c:catAx>
      <c:valAx>
        <c:axId val="137860608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crossAx val="137859072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Consumo Médio  Mensal de Iluminação&amp;Tomadas/Área  - "Antes"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FimOcup.BB_2!$C$56:$C$67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FimOcup.BB_2!$E$56:$E$67</c:f>
              <c:numCache>
                <c:formatCode>#,##0.00</c:formatCode>
                <c:ptCount val="12"/>
                <c:pt idx="0">
                  <c:v>2.7290357720726668</c:v>
                </c:pt>
                <c:pt idx="1">
                  <c:v>2.4749049836789734</c:v>
                </c:pt>
                <c:pt idx="2">
                  <c:v>2.7019010358812325</c:v>
                </c:pt>
                <c:pt idx="3">
                  <c:v>3.1479088215372806</c:v>
                </c:pt>
                <c:pt idx="4">
                  <c:v>3.2598423062791273</c:v>
                </c:pt>
                <c:pt idx="5">
                  <c:v>3.1570098005546554</c:v>
                </c:pt>
                <c:pt idx="6">
                  <c:v>3.0205821639143071</c:v>
                </c:pt>
                <c:pt idx="7">
                  <c:v>2.0442726904536217</c:v>
                </c:pt>
                <c:pt idx="8">
                  <c:v>2.8651739783623258</c:v>
                </c:pt>
                <c:pt idx="9">
                  <c:v>2.9487016960084937</c:v>
                </c:pt>
                <c:pt idx="10">
                  <c:v>2.4818194139343932</c:v>
                </c:pt>
                <c:pt idx="11">
                  <c:v>2.5259137738005948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545024"/>
        <c:axId val="138546560"/>
      </c:barChart>
      <c:catAx>
        <c:axId val="138545024"/>
        <c:scaling>
          <c:orientation val="minMax"/>
        </c:scaling>
        <c:delete val="0"/>
        <c:axPos val="b"/>
        <c:majorTickMark val="out"/>
        <c:minorTickMark val="none"/>
        <c:tickLblPos val="nextTo"/>
        <c:crossAx val="138546560"/>
        <c:crosses val="autoZero"/>
        <c:auto val="1"/>
        <c:lblAlgn val="ctr"/>
        <c:lblOffset val="100"/>
        <c:noMultiLvlLbl val="0"/>
      </c:catAx>
      <c:valAx>
        <c:axId val="138546560"/>
        <c:scaling>
          <c:orientation val="minMax"/>
          <c:max val="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854502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Consumo Médio Mensal de Iluminação&amp;Tomadas/Área  - "Depois"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FimOcup.BB_2!$G$56:$G$67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FimOcup.BB_2!$I$56:$I$67</c:f>
              <c:numCache>
                <c:formatCode>#,##0.00</c:formatCode>
                <c:ptCount val="12"/>
                <c:pt idx="0">
                  <c:v>2.417536882483601</c:v>
                </c:pt>
                <c:pt idx="1">
                  <c:v>2.5710213055857549</c:v>
                </c:pt>
                <c:pt idx="2">
                  <c:v>2.5392171229558498</c:v>
                </c:pt>
                <c:pt idx="3">
                  <c:v>2.6137316274580327</c:v>
                </c:pt>
                <c:pt idx="4">
                  <c:v>2.6916405708050624</c:v>
                </c:pt>
                <c:pt idx="5">
                  <c:v>2.3549859090862202</c:v>
                </c:pt>
                <c:pt idx="6">
                  <c:v>2.2305560203871995</c:v>
                </c:pt>
                <c:pt idx="7">
                  <c:v>1.8020288286513793</c:v>
                </c:pt>
                <c:pt idx="8">
                  <c:v>2.4481977831229864</c:v>
                </c:pt>
                <c:pt idx="9">
                  <c:v>2.3443445996389771</c:v>
                </c:pt>
                <c:pt idx="10">
                  <c:v>2.1619499283743311</c:v>
                </c:pt>
                <c:pt idx="11">
                  <c:v>2.2333636267946479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575872"/>
        <c:axId val="138577408"/>
      </c:barChart>
      <c:catAx>
        <c:axId val="138575872"/>
        <c:scaling>
          <c:orientation val="minMax"/>
        </c:scaling>
        <c:delete val="0"/>
        <c:axPos val="b"/>
        <c:majorTickMark val="out"/>
        <c:minorTickMark val="none"/>
        <c:tickLblPos val="nextTo"/>
        <c:crossAx val="138577408"/>
        <c:crosses val="autoZero"/>
        <c:auto val="1"/>
        <c:lblAlgn val="ctr"/>
        <c:lblOffset val="100"/>
        <c:noMultiLvlLbl val="0"/>
      </c:catAx>
      <c:valAx>
        <c:axId val="138577408"/>
        <c:scaling>
          <c:orientation val="minMax"/>
          <c:max val="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857587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Consumo Médio Mensal de Iluminação&amp;Tomadas/Área  - "Antes &amp; Depois"</a:t>
            </a:r>
            <a:endParaRPr lang="pt-PT" sz="10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FimOcup.BB_2!$C$56:$C$67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FimOcup.BB_2!$E$56:$E$67</c:f>
              <c:numCache>
                <c:formatCode>#,##0.00</c:formatCode>
                <c:ptCount val="12"/>
                <c:pt idx="0">
                  <c:v>2.7290357720726668</c:v>
                </c:pt>
                <c:pt idx="1">
                  <c:v>2.4749049836789734</c:v>
                </c:pt>
                <c:pt idx="2">
                  <c:v>2.7019010358812325</c:v>
                </c:pt>
                <c:pt idx="3">
                  <c:v>3.1479088215372806</c:v>
                </c:pt>
                <c:pt idx="4">
                  <c:v>3.2598423062791273</c:v>
                </c:pt>
                <c:pt idx="5">
                  <c:v>3.1570098005546554</c:v>
                </c:pt>
                <c:pt idx="6">
                  <c:v>3.0205821639143071</c:v>
                </c:pt>
                <c:pt idx="7">
                  <c:v>2.0442726904536217</c:v>
                </c:pt>
                <c:pt idx="8">
                  <c:v>2.8651739783623258</c:v>
                </c:pt>
                <c:pt idx="9">
                  <c:v>2.9487016960084937</c:v>
                </c:pt>
                <c:pt idx="10">
                  <c:v>2.4818194139343932</c:v>
                </c:pt>
                <c:pt idx="11">
                  <c:v>2.5259137738005948</c:v>
                </c:pt>
              </c:numCache>
            </c:numRef>
          </c:val>
        </c:ser>
        <c:ser>
          <c:idx val="1"/>
          <c:order val="1"/>
          <c:spPr>
            <a:solidFill>
              <a:srgbClr val="C0000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FimOcup.BB_2!$C$56:$C$67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FimOcup.BB_2!$I$56:$I$67</c:f>
              <c:numCache>
                <c:formatCode>#,##0.00</c:formatCode>
                <c:ptCount val="12"/>
                <c:pt idx="0">
                  <c:v>2.417536882483601</c:v>
                </c:pt>
                <c:pt idx="1">
                  <c:v>2.5710213055857549</c:v>
                </c:pt>
                <c:pt idx="2">
                  <c:v>2.5392171229558498</c:v>
                </c:pt>
                <c:pt idx="3">
                  <c:v>2.6137316274580327</c:v>
                </c:pt>
                <c:pt idx="4">
                  <c:v>2.6916405708050624</c:v>
                </c:pt>
                <c:pt idx="5">
                  <c:v>2.3549859090862202</c:v>
                </c:pt>
                <c:pt idx="6">
                  <c:v>2.2305560203871995</c:v>
                </c:pt>
                <c:pt idx="7">
                  <c:v>1.8020288286513793</c:v>
                </c:pt>
                <c:pt idx="8">
                  <c:v>2.4481977831229864</c:v>
                </c:pt>
                <c:pt idx="9">
                  <c:v>2.3443445996389771</c:v>
                </c:pt>
                <c:pt idx="10">
                  <c:v>2.1619499283743311</c:v>
                </c:pt>
                <c:pt idx="11">
                  <c:v>2.2333636267946479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808320"/>
        <c:axId val="138810112"/>
      </c:barChart>
      <c:catAx>
        <c:axId val="138808320"/>
        <c:scaling>
          <c:orientation val="minMax"/>
        </c:scaling>
        <c:delete val="0"/>
        <c:axPos val="b"/>
        <c:majorTickMark val="none"/>
        <c:minorTickMark val="none"/>
        <c:tickLblPos val="nextTo"/>
        <c:crossAx val="138810112"/>
        <c:crosses val="autoZero"/>
        <c:auto val="1"/>
        <c:lblAlgn val="ctr"/>
        <c:lblOffset val="100"/>
        <c:noMultiLvlLbl val="0"/>
      </c:catAx>
      <c:valAx>
        <c:axId val="138810112"/>
        <c:scaling>
          <c:orientation val="minMax"/>
          <c:max val="5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crossAx val="138808320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PT" sz="1200"/>
              <a:t>Evolução anual do consumo mensal/área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Mod_2!$AH$5</c:f>
              <c:strCache>
                <c:ptCount val="1"/>
                <c:pt idx="0">
                  <c:v>2007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Mod_2!$C$5:$D$16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Mod_2!$S$5:$S$16</c:f>
              <c:numCache>
                <c:formatCode>#,##0.00</c:formatCode>
                <c:ptCount val="12"/>
                <c:pt idx="0">
                  <c:v>7.627072797270638</c:v>
                </c:pt>
                <c:pt idx="1">
                  <c:v>7.0740401696002113</c:v>
                </c:pt>
                <c:pt idx="2">
                  <c:v>7.216458321938644</c:v>
                </c:pt>
                <c:pt idx="3">
                  <c:v>6.1968819008897968</c:v>
                </c:pt>
                <c:pt idx="4">
                  <c:v>5.9528562593598711</c:v>
                </c:pt>
                <c:pt idx="5">
                  <c:v>6.090896124858288</c:v>
                </c:pt>
                <c:pt idx="6">
                  <c:v>6.3104107202965496</c:v>
                </c:pt>
                <c:pt idx="7">
                  <c:v>3.7579999917767157</c:v>
                </c:pt>
                <c:pt idx="8">
                  <c:v>5.6821862838704646</c:v>
                </c:pt>
                <c:pt idx="9">
                  <c:v>5.6259246541247165</c:v>
                </c:pt>
                <c:pt idx="10">
                  <c:v>5.3682796252149174</c:v>
                </c:pt>
                <c:pt idx="11">
                  <c:v>6.4695712724470074</c:v>
                </c:pt>
              </c:numCache>
            </c:numRef>
          </c:val>
        </c:ser>
        <c:ser>
          <c:idx val="1"/>
          <c:order val="1"/>
          <c:tx>
            <c:strRef>
              <c:f>Mod_2!$AH$6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Mod_2!$C$5:$D$16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Mod_2!$S$17:$S$28</c:f>
              <c:numCache>
                <c:formatCode>#,##0.00</c:formatCode>
                <c:ptCount val="12"/>
                <c:pt idx="0">
                  <c:v>6.1376103072239667</c:v>
                </c:pt>
                <c:pt idx="1">
                  <c:v>6.1917929055996419</c:v>
                </c:pt>
                <c:pt idx="2">
                  <c:v>5.6480759616835226</c:v>
                </c:pt>
                <c:pt idx="3">
                  <c:v>5.1018743664524635</c:v>
                </c:pt>
                <c:pt idx="4">
                  <c:v>4.7000639498292474</c:v>
                </c:pt>
                <c:pt idx="5">
                  <c:v>4.777880586622131</c:v>
                </c:pt>
                <c:pt idx="6">
                  <c:v>4.9300641070663191</c:v>
                </c:pt>
                <c:pt idx="7">
                  <c:v>3.8364384293543616</c:v>
                </c:pt>
                <c:pt idx="8">
                  <c:v>5.3096921019339476</c:v>
                </c:pt>
                <c:pt idx="9">
                  <c:v>4.2576856172082014</c:v>
                </c:pt>
                <c:pt idx="10">
                  <c:v>4.7000581907800854</c:v>
                </c:pt>
                <c:pt idx="11">
                  <c:v>6.3444574053063869</c:v>
                </c:pt>
              </c:numCache>
            </c:numRef>
          </c:val>
        </c:ser>
        <c:ser>
          <c:idx val="2"/>
          <c:order val="2"/>
          <c:tx>
            <c:strRef>
              <c:f>Mod_2!$AH$7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Mod_2!$C$5:$D$16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Mod_2!$S$29:$S$40</c:f>
              <c:numCache>
                <c:formatCode>#,##0.00</c:formatCode>
                <c:ptCount val="12"/>
                <c:pt idx="0">
                  <c:v>5.0875306459618406</c:v>
                </c:pt>
                <c:pt idx="1">
                  <c:v>5.4489534091828604</c:v>
                </c:pt>
                <c:pt idx="2">
                  <c:v>4.6208199168920405</c:v>
                </c:pt>
                <c:pt idx="3">
                  <c:v>4.0469182085589344</c:v>
                </c:pt>
                <c:pt idx="4">
                  <c:v>4.6287565987959436</c:v>
                </c:pt>
                <c:pt idx="5">
                  <c:v>4.931152443330296</c:v>
                </c:pt>
                <c:pt idx="6">
                  <c:v>4.4788022028940127</c:v>
                </c:pt>
                <c:pt idx="7">
                  <c:v>3.2790801487118464</c:v>
                </c:pt>
                <c:pt idx="8">
                  <c:v>5.6579190901814549</c:v>
                </c:pt>
                <c:pt idx="9">
                  <c:v>5.1246800920495144</c:v>
                </c:pt>
                <c:pt idx="10">
                  <c:v>5.3550122863009042</c:v>
                </c:pt>
                <c:pt idx="11">
                  <c:v>5.4382783970603041</c:v>
                </c:pt>
              </c:numCache>
            </c:numRef>
          </c:val>
        </c:ser>
        <c:ser>
          <c:idx val="3"/>
          <c:order val="3"/>
          <c:tx>
            <c:strRef>
              <c:f>Mod_2!$AH$8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Mod_2!$C$5:$D$16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Mod_2!$S$41:$S$52</c:f>
              <c:numCache>
                <c:formatCode>#,##0.00</c:formatCode>
                <c:ptCount val="12"/>
                <c:pt idx="0">
                  <c:v>6.4137056072374188</c:v>
                </c:pt>
                <c:pt idx="1">
                  <c:v>6.3319217521017999</c:v>
                </c:pt>
                <c:pt idx="2">
                  <c:v>6.0150636462039602</c:v>
                </c:pt>
                <c:pt idx="3">
                  <c:v>4.3976991914700969</c:v>
                </c:pt>
                <c:pt idx="4">
                  <c:v>4.7424907055761816</c:v>
                </c:pt>
                <c:pt idx="5">
                  <c:v>4.5629524655254086</c:v>
                </c:pt>
                <c:pt idx="6">
                  <c:v>4.4321252148872077</c:v>
                </c:pt>
                <c:pt idx="7">
                  <c:v>3.7078775470593346</c:v>
                </c:pt>
                <c:pt idx="8">
                  <c:v>4.1573061957250612</c:v>
                </c:pt>
                <c:pt idx="9">
                  <c:v>4.7262471340798573</c:v>
                </c:pt>
                <c:pt idx="10">
                  <c:v>3.9022517342965179</c:v>
                </c:pt>
                <c:pt idx="11">
                  <c:v>5.2137496398041172</c:v>
                </c:pt>
              </c:numCache>
            </c:numRef>
          </c:val>
        </c:ser>
        <c:ser>
          <c:idx val="4"/>
          <c:order val="4"/>
          <c:tx>
            <c:strRef>
              <c:f>Mod_2!$AH$9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Mod_2!$C$5:$D$16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Mod_2!$S$53:$S$64</c:f>
              <c:numCache>
                <c:formatCode>#,##0.00</c:formatCode>
                <c:ptCount val="12"/>
                <c:pt idx="0">
                  <c:v>7.1003412258822296</c:v>
                </c:pt>
                <c:pt idx="1">
                  <c:v>4.9417977239254762</c:v>
                </c:pt>
                <c:pt idx="2">
                  <c:v>4.2163698801027305</c:v>
                </c:pt>
                <c:pt idx="3">
                  <c:v>3.8324778475526058</c:v>
                </c:pt>
                <c:pt idx="4">
                  <c:v>5.2933569067248474</c:v>
                </c:pt>
                <c:pt idx="5">
                  <c:v>4.2979960687868228</c:v>
                </c:pt>
                <c:pt idx="6">
                  <c:v>3.6842631671414505</c:v>
                </c:pt>
                <c:pt idx="7">
                  <c:v>2.6738758036494721</c:v>
                </c:pt>
                <c:pt idx="8">
                  <c:v>3.1475424886901391</c:v>
                </c:pt>
                <c:pt idx="9">
                  <c:v>4.1308363055474953</c:v>
                </c:pt>
                <c:pt idx="10">
                  <c:v>5.0263814785561554</c:v>
                </c:pt>
                <c:pt idx="11">
                  <c:v>4.2282946626170466</c:v>
                </c:pt>
              </c:numCache>
            </c:numRef>
          </c:val>
        </c:ser>
        <c:ser>
          <c:idx val="5"/>
          <c:order val="5"/>
          <c:tx>
            <c:strRef>
              <c:f>Mod_2!$AH$10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Mod_2!$C$5:$D$16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Mod_2!$S$65:$S$76</c:f>
              <c:numCache>
                <c:formatCode>#,##0.00</c:formatCode>
                <c:ptCount val="12"/>
                <c:pt idx="0">
                  <c:v>4.2952648502610344</c:v>
                </c:pt>
                <c:pt idx="1">
                  <c:v>6.1724491069701264</c:v>
                </c:pt>
                <c:pt idx="2">
                  <c:v>3.5436528596424055</c:v>
                </c:pt>
                <c:pt idx="3">
                  <c:v>4.2235795141187538</c:v>
                </c:pt>
                <c:pt idx="4">
                  <c:v>4.0042640973078134</c:v>
                </c:pt>
                <c:pt idx="5">
                  <c:v>3.8518458137355895</c:v>
                </c:pt>
                <c:pt idx="6">
                  <c:v>3.4374492745173262</c:v>
                </c:pt>
                <c:pt idx="7">
                  <c:v>2.398990658208878</c:v>
                </c:pt>
                <c:pt idx="8">
                  <c:v>3.6898587656740305</c:v>
                </c:pt>
                <c:pt idx="9">
                  <c:v>2.919364956902827</c:v>
                </c:pt>
                <c:pt idx="10">
                  <c:v>3.1833254909849575</c:v>
                </c:pt>
                <c:pt idx="11">
                  <c:v>3.6673768974784555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30"/>
        <c:axId val="121362688"/>
        <c:axId val="121393152"/>
      </c:barChart>
      <c:catAx>
        <c:axId val="121362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393152"/>
        <c:crosses val="autoZero"/>
        <c:auto val="1"/>
        <c:lblAlgn val="ctr"/>
        <c:lblOffset val="100"/>
        <c:noMultiLvlLbl val="0"/>
      </c:catAx>
      <c:valAx>
        <c:axId val="121393152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21362688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PT" sz="1200"/>
              <a:t>Análise trimestral janeiro - março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2"/>
              <c:layout>
                <c:manualLayout>
                  <c:x val="0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6.4814814814814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Mod_2!$BJ$24:$BJ$29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Mod_2!$BL$24:$BL$29</c:f>
              <c:numCache>
                <c:formatCode>#,##0.00</c:formatCode>
                <c:ptCount val="6"/>
                <c:pt idx="0">
                  <c:v>7.3058570962698299</c:v>
                </c:pt>
                <c:pt idx="1">
                  <c:v>5.9924930581690434</c:v>
                </c:pt>
                <c:pt idx="2">
                  <c:v>5.0524346573455805</c:v>
                </c:pt>
                <c:pt idx="3">
                  <c:v>6.2535636685143929</c:v>
                </c:pt>
                <c:pt idx="4">
                  <c:v>5.4195029433034785</c:v>
                </c:pt>
                <c:pt idx="5">
                  <c:v>4.6704556056245226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678464"/>
        <c:axId val="128926080"/>
      </c:barChart>
      <c:lineChart>
        <c:grouping val="standard"/>
        <c:varyColors val="0"/>
        <c:ser>
          <c:idx val="1"/>
          <c:order val="1"/>
          <c:spPr>
            <a:ln w="34925"/>
          </c:spPr>
          <c:val>
            <c:numRef>
              <c:f>Mod_2!$BK$24:$BK$29</c:f>
              <c:numCache>
                <c:formatCode>#,##0.00</c:formatCode>
                <c:ptCount val="6"/>
                <c:pt idx="0">
                  <c:v>413602.16666666669</c:v>
                </c:pt>
                <c:pt idx="1">
                  <c:v>411074</c:v>
                </c:pt>
                <c:pt idx="2">
                  <c:v>408536.16666666669</c:v>
                </c:pt>
                <c:pt idx="3">
                  <c:v>416461.83333333331</c:v>
                </c:pt>
                <c:pt idx="4">
                  <c:v>402528</c:v>
                </c:pt>
                <c:pt idx="5">
                  <c:v>405499.66666666669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938368"/>
        <c:axId val="128928000"/>
      </c:lineChart>
      <c:catAx>
        <c:axId val="12167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8926080"/>
        <c:crosses val="autoZero"/>
        <c:auto val="1"/>
        <c:lblAlgn val="ctr"/>
        <c:lblOffset val="100"/>
        <c:noMultiLvlLbl val="0"/>
      </c:catAx>
      <c:valAx>
        <c:axId val="128926080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21678464"/>
        <c:crosses val="autoZero"/>
        <c:crossBetween val="between"/>
        <c:majorUnit val="2"/>
      </c:valAx>
      <c:valAx>
        <c:axId val="128928000"/>
        <c:scaling>
          <c:orientation val="minMax"/>
          <c:max val="450000"/>
          <c:min val="3500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Evento.m</a:t>
                </a:r>
                <a:r>
                  <a:rPr lang="pt-PT" strike="noStrike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28938368"/>
        <c:crosses val="max"/>
        <c:crossBetween val="between"/>
        <c:majorUnit val="20000"/>
      </c:valAx>
      <c:catAx>
        <c:axId val="128938368"/>
        <c:scaling>
          <c:orientation val="minMax"/>
        </c:scaling>
        <c:delete val="1"/>
        <c:axPos val="b"/>
        <c:majorTickMark val="out"/>
        <c:minorTickMark val="none"/>
        <c:tickLblPos val="nextTo"/>
        <c:crossAx val="12892800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PT" sz="1200"/>
              <a:t>Análise trimestral abril - junho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1"/>
              <c:layout>
                <c:manualLayout>
                  <c:x val="0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Mod_2!$BJ$39:$BJ$44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Mod_2!$BL$39:$BL$44</c:f>
              <c:numCache>
                <c:formatCode>#,##0.00</c:formatCode>
                <c:ptCount val="6"/>
                <c:pt idx="0">
                  <c:v>6.0802114283693198</c:v>
                </c:pt>
                <c:pt idx="1">
                  <c:v>4.8599396343012806</c:v>
                </c:pt>
                <c:pt idx="2">
                  <c:v>4.5356090835617247</c:v>
                </c:pt>
                <c:pt idx="3">
                  <c:v>4.5677141208572287</c:v>
                </c:pt>
                <c:pt idx="4">
                  <c:v>4.4746102743547587</c:v>
                </c:pt>
                <c:pt idx="5">
                  <c:v>4.0265631417207191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957056"/>
        <c:axId val="128967040"/>
      </c:barChart>
      <c:lineChart>
        <c:grouping val="standard"/>
        <c:varyColors val="0"/>
        <c:ser>
          <c:idx val="1"/>
          <c:order val="1"/>
          <c:spPr>
            <a:ln w="34925"/>
          </c:spPr>
          <c:val>
            <c:numRef>
              <c:f>Mod_2!$BK$39:$BK$44</c:f>
              <c:numCache>
                <c:formatCode>#,##0.00</c:formatCode>
                <c:ptCount val="6"/>
                <c:pt idx="0">
                  <c:v>402682.3666666667</c:v>
                </c:pt>
                <c:pt idx="1">
                  <c:v>401718.7</c:v>
                </c:pt>
                <c:pt idx="2">
                  <c:v>400600.53333333338</c:v>
                </c:pt>
                <c:pt idx="3">
                  <c:v>394466.2</c:v>
                </c:pt>
                <c:pt idx="4">
                  <c:v>386550.3666666667</c:v>
                </c:pt>
                <c:pt idx="5">
                  <c:v>394210.2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370240"/>
        <c:axId val="128968960"/>
      </c:lineChart>
      <c:catAx>
        <c:axId val="12895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8967040"/>
        <c:crosses val="autoZero"/>
        <c:auto val="1"/>
        <c:lblAlgn val="ctr"/>
        <c:lblOffset val="100"/>
        <c:noMultiLvlLbl val="0"/>
      </c:catAx>
      <c:valAx>
        <c:axId val="128967040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28957056"/>
        <c:crosses val="autoZero"/>
        <c:crossBetween val="between"/>
        <c:majorUnit val="2"/>
      </c:valAx>
      <c:valAx>
        <c:axId val="128968960"/>
        <c:scaling>
          <c:orientation val="minMax"/>
          <c:max val="450000"/>
          <c:min val="3500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Evento.m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3370240"/>
        <c:crosses val="max"/>
        <c:crossBetween val="between"/>
        <c:majorUnit val="20000"/>
      </c:valAx>
      <c:catAx>
        <c:axId val="133370240"/>
        <c:scaling>
          <c:orientation val="minMax"/>
        </c:scaling>
        <c:delete val="1"/>
        <c:axPos val="b"/>
        <c:majorTickMark val="out"/>
        <c:minorTickMark val="none"/>
        <c:tickLblPos val="nextTo"/>
        <c:crossAx val="12896896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PT" sz="1200"/>
              <a:t>Análise trimestral julho - setembro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Mod_2!$BJ$56:$BJ$61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Mod_2!$BL$56:$BL$61</c:f>
              <c:numCache>
                <c:formatCode>#,##0.00</c:formatCode>
                <c:ptCount val="6"/>
                <c:pt idx="0">
                  <c:v>5.9962985020835067</c:v>
                </c:pt>
                <c:pt idx="1">
                  <c:v>5.1198781045001329</c:v>
                </c:pt>
                <c:pt idx="2">
                  <c:v>5.0683606465377338</c:v>
                </c:pt>
                <c:pt idx="3">
                  <c:v>4.2947157053061344</c:v>
                </c:pt>
                <c:pt idx="4">
                  <c:v>3.4159028279157946</c:v>
                </c:pt>
                <c:pt idx="5">
                  <c:v>3.5636540200956786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384064"/>
        <c:axId val="133385600"/>
      </c:barChart>
      <c:lineChart>
        <c:grouping val="standard"/>
        <c:varyColors val="0"/>
        <c:ser>
          <c:idx val="1"/>
          <c:order val="1"/>
          <c:spPr>
            <a:ln w="34925"/>
          </c:spPr>
          <c:val>
            <c:numRef>
              <c:f>Mod_2!$BK$56:$BK$61</c:f>
              <c:numCache>
                <c:formatCode>#,##0.00</c:formatCode>
                <c:ptCount val="6"/>
                <c:pt idx="0">
                  <c:v>388407</c:v>
                </c:pt>
                <c:pt idx="1">
                  <c:v>396873</c:v>
                </c:pt>
                <c:pt idx="2">
                  <c:v>388316.5</c:v>
                </c:pt>
                <c:pt idx="3">
                  <c:v>374076.75</c:v>
                </c:pt>
                <c:pt idx="4">
                  <c:v>373106.75</c:v>
                </c:pt>
                <c:pt idx="5">
                  <c:v>375430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397888"/>
        <c:axId val="133395968"/>
      </c:lineChart>
      <c:catAx>
        <c:axId val="13338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3385600"/>
        <c:crosses val="autoZero"/>
        <c:auto val="1"/>
        <c:lblAlgn val="ctr"/>
        <c:lblOffset val="100"/>
        <c:noMultiLvlLbl val="0"/>
      </c:catAx>
      <c:valAx>
        <c:axId val="133385600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3384064"/>
        <c:crosses val="autoZero"/>
        <c:crossBetween val="between"/>
        <c:majorUnit val="2"/>
      </c:valAx>
      <c:valAx>
        <c:axId val="133395968"/>
        <c:scaling>
          <c:orientation val="minMax"/>
          <c:max val="450000"/>
          <c:min val="3500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Evento.m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3397888"/>
        <c:crosses val="max"/>
        <c:crossBetween val="between"/>
        <c:majorUnit val="20000"/>
      </c:valAx>
      <c:catAx>
        <c:axId val="133397888"/>
        <c:scaling>
          <c:orientation val="minMax"/>
        </c:scaling>
        <c:delete val="1"/>
        <c:axPos val="b"/>
        <c:majorTickMark val="out"/>
        <c:minorTickMark val="none"/>
        <c:tickLblPos val="nextTo"/>
        <c:crossAx val="13339596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PT" sz="1200"/>
              <a:t>Análise trimestral outubro - dezembro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3"/>
              <c:layout>
                <c:manualLayout>
                  <c:x val="0"/>
                  <c:y val="-8.73563218390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Mod_2!$BJ$72:$BJ$77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Mod_2!$BL$72:$BL$77</c:f>
              <c:numCache>
                <c:formatCode>#,##0.00</c:formatCode>
                <c:ptCount val="6"/>
                <c:pt idx="0">
                  <c:v>5.8212585172622129</c:v>
                </c:pt>
                <c:pt idx="1">
                  <c:v>5.1007337377648909</c:v>
                </c:pt>
                <c:pt idx="2">
                  <c:v>5.3059902584702412</c:v>
                </c:pt>
                <c:pt idx="3">
                  <c:v>4.614082836060164</c:v>
                </c:pt>
                <c:pt idx="4">
                  <c:v>4.4618374822402318</c:v>
                </c:pt>
                <c:pt idx="5">
                  <c:v>3.25668911512208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522944"/>
        <c:axId val="133524480"/>
      </c:barChart>
      <c:lineChart>
        <c:grouping val="standard"/>
        <c:varyColors val="0"/>
        <c:ser>
          <c:idx val="1"/>
          <c:order val="1"/>
          <c:spPr>
            <a:ln w="34925"/>
          </c:spPr>
          <c:val>
            <c:numRef>
              <c:f>Mod_2!$BK$72:$BK$77</c:f>
              <c:numCache>
                <c:formatCode>#,##0.00</c:formatCode>
                <c:ptCount val="6"/>
                <c:pt idx="0">
                  <c:v>420988.16666666669</c:v>
                </c:pt>
                <c:pt idx="1">
                  <c:v>420303.83333333331</c:v>
                </c:pt>
                <c:pt idx="2">
                  <c:v>418721.5</c:v>
                </c:pt>
                <c:pt idx="3">
                  <c:v>405234.83333333331</c:v>
                </c:pt>
                <c:pt idx="4">
                  <c:v>413259</c:v>
                </c:pt>
                <c:pt idx="5">
                  <c:v>403598.66666666669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532672"/>
        <c:axId val="133530752"/>
      </c:lineChart>
      <c:catAx>
        <c:axId val="13352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3524480"/>
        <c:crosses val="autoZero"/>
        <c:auto val="1"/>
        <c:lblAlgn val="ctr"/>
        <c:lblOffset val="100"/>
        <c:noMultiLvlLbl val="0"/>
      </c:catAx>
      <c:valAx>
        <c:axId val="133524480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3522944"/>
        <c:crosses val="autoZero"/>
        <c:crossBetween val="between"/>
        <c:majorUnit val="2"/>
      </c:valAx>
      <c:valAx>
        <c:axId val="133530752"/>
        <c:scaling>
          <c:orientation val="minMax"/>
          <c:max val="450000"/>
          <c:min val="3500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Evento.m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3532672"/>
        <c:crosses val="max"/>
        <c:crossBetween val="between"/>
        <c:majorUnit val="20000"/>
      </c:valAx>
      <c:catAx>
        <c:axId val="133532672"/>
        <c:scaling>
          <c:orientation val="minMax"/>
        </c:scaling>
        <c:delete val="1"/>
        <c:axPos val="b"/>
        <c:majorTickMark val="out"/>
        <c:minorTickMark val="none"/>
        <c:tickLblPos val="nextTo"/>
        <c:crossAx val="13353075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Tendência</a:t>
            </a:r>
            <a:r>
              <a:rPr lang="pt-PT" baseline="0"/>
              <a:t> de consumos - Módulo 2</a:t>
            </a:r>
            <a:endParaRPr lang="pt-PT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'[6]Globais 07-12 MOD''s'!$N$202</c:f>
              <c:strCache>
                <c:ptCount val="1"/>
                <c:pt idx="0">
                  <c:v>Ilum.&amp;Tom.</c:v>
                </c:pt>
              </c:strCache>
            </c:strRef>
          </c:tx>
          <c:spPr>
            <a:ln>
              <a:solidFill>
                <a:srgbClr val="C00000"/>
              </a:solidFill>
              <a:prstDash val="sysDot"/>
            </a:ln>
          </c:spPr>
          <c:marker>
            <c:symbol val="none"/>
          </c:marker>
          <c:cat>
            <c:numRef>
              <c:f>'[6]Globais 07-12 MOD''s'!$A$331:$A$336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('[6]Globais 07-12 MOD''s'!$C$6,'[6]Globais 07-12 MOD''s'!$C$44,'[6]Globais 07-12 MOD''s'!$C$82,'[6]Globais 07-12 MOD''s'!$C$120,'[6]Globais 07-12 MOD''s'!$C$158,'[6]Globais 07-12 MOD''s'!$C$196)</c:f>
              <c:numCache>
                <c:formatCode>General</c:formatCode>
                <c:ptCount val="6"/>
                <c:pt idx="0">
                  <c:v>838516.32621304307</c:v>
                </c:pt>
                <c:pt idx="1">
                  <c:v>728724.13912912086</c:v>
                </c:pt>
                <c:pt idx="2">
                  <c:v>726514.08106976631</c:v>
                </c:pt>
                <c:pt idx="3">
                  <c:v>713208.23760148452</c:v>
                </c:pt>
                <c:pt idx="4">
                  <c:v>687032.97619342909</c:v>
                </c:pt>
                <c:pt idx="5">
                  <c:v>626570.03091649583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'[6]Globais 07-12 MOD''s'!$N$203</c:f>
              <c:strCache>
                <c:ptCount val="1"/>
                <c:pt idx="0">
                  <c:v>AC-Frio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numRef>
              <c:f>'[6]Globais 07-12 MOD''s'!$A$331:$A$336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('[6]Globais 07-12 MOD''s'!$C$7,'[6]Globais 07-12 MOD''s'!$C$45,'[6]Globais 07-12 MOD''s'!$C$83,'[6]Globais 07-12 MOD''s'!$C$121,'[6]Globais 07-12 MOD''s'!$C$159,'[6]Globais 07-12 MOD''s'!$C$197)</c:f>
              <c:numCache>
                <c:formatCode>General</c:formatCode>
                <c:ptCount val="6"/>
                <c:pt idx="0">
                  <c:v>698070.1523941484</c:v>
                </c:pt>
                <c:pt idx="1">
                  <c:v>590846.56415363715</c:v>
                </c:pt>
                <c:pt idx="2">
                  <c:v>550700.78018195485</c:v>
                </c:pt>
                <c:pt idx="3">
                  <c:v>523649.32492738229</c:v>
                </c:pt>
                <c:pt idx="4">
                  <c:v>434037.53200899286</c:v>
                </c:pt>
                <c:pt idx="5">
                  <c:v>329595.69029567781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'[6]Globais 07-12 MOD''s'!$N$204</c:f>
              <c:strCache>
                <c:ptCount val="1"/>
                <c:pt idx="0">
                  <c:v>AC-Quente</c:v>
                </c:pt>
              </c:strCache>
            </c:strRef>
          </c:tx>
          <c:spPr>
            <a:ln>
              <a:solidFill>
                <a:srgbClr val="C00000"/>
              </a:solidFill>
              <a:prstDash val="dashDot"/>
            </a:ln>
          </c:spPr>
          <c:marker>
            <c:symbol val="none"/>
          </c:marker>
          <c:cat>
            <c:numRef>
              <c:f>'[6]Globais 07-12 MOD''s'!$A$331:$A$336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('[6]Globais 07-12 MOD''s'!$C$8,'[6]Globais 07-12 MOD''s'!$C$46,'[6]Globais 07-12 MOD''s'!$C$84,'[6]Globais 07-12 MOD''s'!$C$122,'[6]Globais 07-12 MOD''s'!$C$160,'[6]Globais 07-12 MOD''s'!$C$198)</c:f>
              <c:numCache>
                <c:formatCode>General</c:formatCode>
                <c:ptCount val="6"/>
                <c:pt idx="0">
                  <c:v>266951.07606182387</c:v>
                </c:pt>
                <c:pt idx="1">
                  <c:v>202777.68564657908</c:v>
                </c:pt>
                <c:pt idx="2">
                  <c:v>150802.55634979112</c:v>
                </c:pt>
                <c:pt idx="3">
                  <c:v>203584.48247462389</c:v>
                </c:pt>
                <c:pt idx="4">
                  <c:v>171160.65991535611</c:v>
                </c:pt>
                <c:pt idx="5">
                  <c:v>159434.42486170167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392704"/>
        <c:axId val="136394240"/>
      </c:lineChart>
      <c:catAx>
        <c:axId val="13639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36394240"/>
        <c:crosses val="autoZero"/>
        <c:auto val="1"/>
        <c:lblAlgn val="ctr"/>
        <c:lblOffset val="100"/>
        <c:noMultiLvlLbl val="0"/>
      </c:catAx>
      <c:valAx>
        <c:axId val="1363942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kWh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pt-PT"/>
          </a:p>
        </c:txPr>
        <c:crossAx val="136392704"/>
        <c:crosses val="autoZero"/>
        <c:crossBetween val="between"/>
        <c:majorUnit val="3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12" Type="http://schemas.openxmlformats.org/officeDocument/2006/relationships/chart" Target="../charts/chart21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chart" Target="../charts/chart20.xml"/><Relationship Id="rId5" Type="http://schemas.openxmlformats.org/officeDocument/2006/relationships/chart" Target="../charts/chart14.xml"/><Relationship Id="rId10" Type="http://schemas.openxmlformats.org/officeDocument/2006/relationships/chart" Target="../charts/chart19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5" Type="http://schemas.openxmlformats.org/officeDocument/2006/relationships/chart" Target="../charts/chart26.xml"/><Relationship Id="rId4" Type="http://schemas.openxmlformats.org/officeDocument/2006/relationships/chart" Target="../charts/chart2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5" Type="http://schemas.openxmlformats.org/officeDocument/2006/relationships/chart" Target="../charts/chart32.xml"/><Relationship Id="rId4" Type="http://schemas.openxmlformats.org/officeDocument/2006/relationships/chart" Target="../charts/chart3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19049</xdr:colOff>
      <xdr:row>36</xdr:row>
      <xdr:rowOff>23811</xdr:rowOff>
    </xdr:from>
    <xdr:to>
      <xdr:col>30</xdr:col>
      <xdr:colOff>390524</xdr:colOff>
      <xdr:row>52</xdr:row>
      <xdr:rowOff>105726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19049</xdr:colOff>
      <xdr:row>17</xdr:row>
      <xdr:rowOff>151447</xdr:rowOff>
    </xdr:from>
    <xdr:to>
      <xdr:col>30</xdr:col>
      <xdr:colOff>390524</xdr:colOff>
      <xdr:row>34</xdr:row>
      <xdr:rowOff>52387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47625</xdr:colOff>
      <xdr:row>11</xdr:row>
      <xdr:rowOff>38100</xdr:rowOff>
    </xdr:from>
    <xdr:to>
      <xdr:col>41</xdr:col>
      <xdr:colOff>590550</xdr:colOff>
      <xdr:row>27</xdr:row>
      <xdr:rowOff>129540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19050</xdr:colOff>
      <xdr:row>4</xdr:row>
      <xdr:rowOff>28575</xdr:rowOff>
    </xdr:from>
    <xdr:to>
      <xdr:col>68</xdr:col>
      <xdr:colOff>219076</xdr:colOff>
      <xdr:row>20</xdr:row>
      <xdr:rowOff>120015</xdr:rowOff>
    </xdr:to>
    <xdr:graphicFrame macro="">
      <xdr:nvGraphicFramePr>
        <xdr:cNvPr id="20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50</xdr:col>
      <xdr:colOff>28575</xdr:colOff>
      <xdr:row>21</xdr:row>
      <xdr:rowOff>152400</xdr:rowOff>
    </xdr:from>
    <xdr:to>
      <xdr:col>60</xdr:col>
      <xdr:colOff>200024</xdr:colOff>
      <xdr:row>36</xdr:row>
      <xdr:rowOff>28575</xdr:rowOff>
    </xdr:to>
    <xdr:graphicFrame macro="">
      <xdr:nvGraphicFramePr>
        <xdr:cNvPr id="21" name="Gráfico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50</xdr:col>
      <xdr:colOff>28575</xdr:colOff>
      <xdr:row>37</xdr:row>
      <xdr:rowOff>47625</xdr:rowOff>
    </xdr:from>
    <xdr:to>
      <xdr:col>60</xdr:col>
      <xdr:colOff>200024</xdr:colOff>
      <xdr:row>51</xdr:row>
      <xdr:rowOff>114300</xdr:rowOff>
    </xdr:to>
    <xdr:graphicFrame macro="">
      <xdr:nvGraphicFramePr>
        <xdr:cNvPr id="22" name="Gráfico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50</xdr:col>
      <xdr:colOff>28575</xdr:colOff>
      <xdr:row>54</xdr:row>
      <xdr:rowOff>38100</xdr:rowOff>
    </xdr:from>
    <xdr:to>
      <xdr:col>60</xdr:col>
      <xdr:colOff>200024</xdr:colOff>
      <xdr:row>68</xdr:row>
      <xdr:rowOff>123825</xdr:rowOff>
    </xdr:to>
    <xdr:graphicFrame macro="">
      <xdr:nvGraphicFramePr>
        <xdr:cNvPr id="23" name="Gráfico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50</xdr:col>
      <xdr:colOff>28575</xdr:colOff>
      <xdr:row>70</xdr:row>
      <xdr:rowOff>47625</xdr:rowOff>
    </xdr:from>
    <xdr:to>
      <xdr:col>60</xdr:col>
      <xdr:colOff>200024</xdr:colOff>
      <xdr:row>84</xdr:row>
      <xdr:rowOff>133350</xdr:rowOff>
    </xdr:to>
    <xdr:graphicFrame macro="">
      <xdr:nvGraphicFramePr>
        <xdr:cNvPr id="24" name="Gráfico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47625</xdr:colOff>
      <xdr:row>80</xdr:row>
      <xdr:rowOff>47625</xdr:rowOff>
    </xdr:from>
    <xdr:to>
      <xdr:col>13</xdr:col>
      <xdr:colOff>257175</xdr:colOff>
      <xdr:row>94</xdr:row>
      <xdr:rowOff>123825</xdr:rowOff>
    </xdr:to>
    <xdr:graphicFrame macro="">
      <xdr:nvGraphicFramePr>
        <xdr:cNvPr id="26" name="Gráfico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428624</xdr:colOff>
      <xdr:row>3</xdr:row>
      <xdr:rowOff>90487</xdr:rowOff>
    </xdr:from>
    <xdr:to>
      <xdr:col>20</xdr:col>
      <xdr:colOff>190499</xdr:colOff>
      <xdr:row>19</xdr:row>
      <xdr:rowOff>114300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419099</xdr:colOff>
      <xdr:row>21</xdr:row>
      <xdr:rowOff>80962</xdr:rowOff>
    </xdr:from>
    <xdr:to>
      <xdr:col>20</xdr:col>
      <xdr:colOff>200024</xdr:colOff>
      <xdr:row>37</xdr:row>
      <xdr:rowOff>114300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419100</xdr:colOff>
      <xdr:row>39</xdr:row>
      <xdr:rowOff>66675</xdr:rowOff>
    </xdr:from>
    <xdr:to>
      <xdr:col>20</xdr:col>
      <xdr:colOff>190500</xdr:colOff>
      <xdr:row>55</xdr:row>
      <xdr:rowOff>161925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400049</xdr:colOff>
      <xdr:row>3</xdr:row>
      <xdr:rowOff>71436</xdr:rowOff>
    </xdr:from>
    <xdr:to>
      <xdr:col>31</xdr:col>
      <xdr:colOff>161924</xdr:colOff>
      <xdr:row>19</xdr:row>
      <xdr:rowOff>104774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400050</xdr:colOff>
      <xdr:row>21</xdr:row>
      <xdr:rowOff>80961</xdr:rowOff>
    </xdr:from>
    <xdr:to>
      <xdr:col>31</xdr:col>
      <xdr:colOff>171450</xdr:colOff>
      <xdr:row>37</xdr:row>
      <xdr:rowOff>123824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390525</xdr:colOff>
      <xdr:row>39</xdr:row>
      <xdr:rowOff>85724</xdr:rowOff>
    </xdr:from>
    <xdr:to>
      <xdr:col>31</xdr:col>
      <xdr:colOff>142875</xdr:colOff>
      <xdr:row>55</xdr:row>
      <xdr:rowOff>190499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33</xdr:col>
      <xdr:colOff>457200</xdr:colOff>
      <xdr:row>3</xdr:row>
      <xdr:rowOff>66675</xdr:rowOff>
    </xdr:from>
    <xdr:to>
      <xdr:col>42</xdr:col>
      <xdr:colOff>219075</xdr:colOff>
      <xdr:row>19</xdr:row>
      <xdr:rowOff>100013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33</xdr:col>
      <xdr:colOff>457200</xdr:colOff>
      <xdr:row>21</xdr:row>
      <xdr:rowOff>95250</xdr:rowOff>
    </xdr:from>
    <xdr:to>
      <xdr:col>42</xdr:col>
      <xdr:colOff>228600</xdr:colOff>
      <xdr:row>37</xdr:row>
      <xdr:rowOff>138113</xdr:rowOff>
    </xdr:to>
    <xdr:graphicFrame macro="">
      <xdr:nvGraphicFramePr>
        <xdr:cNvPr id="15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33</xdr:col>
      <xdr:colOff>438150</xdr:colOff>
      <xdr:row>39</xdr:row>
      <xdr:rowOff>76200</xdr:rowOff>
    </xdr:from>
    <xdr:to>
      <xdr:col>42</xdr:col>
      <xdr:colOff>190500</xdr:colOff>
      <xdr:row>55</xdr:row>
      <xdr:rowOff>180975</xdr:rowOff>
    </xdr:to>
    <xdr:graphicFrame macro="">
      <xdr:nvGraphicFramePr>
        <xdr:cNvPr id="1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44</xdr:col>
      <xdr:colOff>409575</xdr:colOff>
      <xdr:row>3</xdr:row>
      <xdr:rowOff>66675</xdr:rowOff>
    </xdr:from>
    <xdr:to>
      <xdr:col>53</xdr:col>
      <xdr:colOff>171450</xdr:colOff>
      <xdr:row>19</xdr:row>
      <xdr:rowOff>100013</xdr:rowOff>
    </xdr:to>
    <xdr:graphicFrame macro="">
      <xdr:nvGraphicFramePr>
        <xdr:cNvPr id="20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44</xdr:col>
      <xdr:colOff>400050</xdr:colOff>
      <xdr:row>21</xdr:row>
      <xdr:rowOff>66675</xdr:rowOff>
    </xdr:from>
    <xdr:to>
      <xdr:col>53</xdr:col>
      <xdr:colOff>171450</xdr:colOff>
      <xdr:row>37</xdr:row>
      <xdr:rowOff>109538</xdr:rowOff>
    </xdr:to>
    <xdr:graphicFrame macro="">
      <xdr:nvGraphicFramePr>
        <xdr:cNvPr id="21" name="Gráfico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44</xdr:col>
      <xdr:colOff>400050</xdr:colOff>
      <xdr:row>39</xdr:row>
      <xdr:rowOff>76200</xdr:rowOff>
    </xdr:from>
    <xdr:to>
      <xdr:col>53</xdr:col>
      <xdr:colOff>152400</xdr:colOff>
      <xdr:row>55</xdr:row>
      <xdr:rowOff>180975</xdr:rowOff>
    </xdr:to>
    <xdr:graphicFrame macro="">
      <xdr:nvGraphicFramePr>
        <xdr:cNvPr id="22" name="Gráfico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428624</xdr:colOff>
      <xdr:row>3</xdr:row>
      <xdr:rowOff>90487</xdr:rowOff>
    </xdr:from>
    <xdr:to>
      <xdr:col>20</xdr:col>
      <xdr:colOff>190499</xdr:colOff>
      <xdr:row>19</xdr:row>
      <xdr:rowOff>114300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419099</xdr:colOff>
      <xdr:row>21</xdr:row>
      <xdr:rowOff>80962</xdr:rowOff>
    </xdr:from>
    <xdr:to>
      <xdr:col>20</xdr:col>
      <xdr:colOff>200024</xdr:colOff>
      <xdr:row>37</xdr:row>
      <xdr:rowOff>114300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419100</xdr:colOff>
      <xdr:row>39</xdr:row>
      <xdr:rowOff>66675</xdr:rowOff>
    </xdr:from>
    <xdr:to>
      <xdr:col>20</xdr:col>
      <xdr:colOff>190500</xdr:colOff>
      <xdr:row>55</xdr:row>
      <xdr:rowOff>161925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400049</xdr:colOff>
      <xdr:row>3</xdr:row>
      <xdr:rowOff>71436</xdr:rowOff>
    </xdr:from>
    <xdr:to>
      <xdr:col>31</xdr:col>
      <xdr:colOff>161924</xdr:colOff>
      <xdr:row>19</xdr:row>
      <xdr:rowOff>104774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400050</xdr:colOff>
      <xdr:row>21</xdr:row>
      <xdr:rowOff>80961</xdr:rowOff>
    </xdr:from>
    <xdr:to>
      <xdr:col>31</xdr:col>
      <xdr:colOff>171450</xdr:colOff>
      <xdr:row>37</xdr:row>
      <xdr:rowOff>123824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390525</xdr:colOff>
      <xdr:row>39</xdr:row>
      <xdr:rowOff>85724</xdr:rowOff>
    </xdr:from>
    <xdr:to>
      <xdr:col>31</xdr:col>
      <xdr:colOff>142875</xdr:colOff>
      <xdr:row>55</xdr:row>
      <xdr:rowOff>190499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428624</xdr:colOff>
      <xdr:row>3</xdr:row>
      <xdr:rowOff>90487</xdr:rowOff>
    </xdr:from>
    <xdr:to>
      <xdr:col>20</xdr:col>
      <xdr:colOff>190499</xdr:colOff>
      <xdr:row>19</xdr:row>
      <xdr:rowOff>114300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419099</xdr:colOff>
      <xdr:row>21</xdr:row>
      <xdr:rowOff>80962</xdr:rowOff>
    </xdr:from>
    <xdr:to>
      <xdr:col>20</xdr:col>
      <xdr:colOff>200024</xdr:colOff>
      <xdr:row>37</xdr:row>
      <xdr:rowOff>114300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419100</xdr:colOff>
      <xdr:row>39</xdr:row>
      <xdr:rowOff>66675</xdr:rowOff>
    </xdr:from>
    <xdr:to>
      <xdr:col>20</xdr:col>
      <xdr:colOff>190500</xdr:colOff>
      <xdr:row>55</xdr:row>
      <xdr:rowOff>161925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409575</xdr:colOff>
      <xdr:row>3</xdr:row>
      <xdr:rowOff>66675</xdr:rowOff>
    </xdr:from>
    <xdr:to>
      <xdr:col>31</xdr:col>
      <xdr:colOff>171450</xdr:colOff>
      <xdr:row>19</xdr:row>
      <xdr:rowOff>100013</xdr:rowOff>
    </xdr:to>
    <xdr:graphicFrame macro="">
      <xdr:nvGraphicFramePr>
        <xdr:cNvPr id="20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400050</xdr:colOff>
      <xdr:row>21</xdr:row>
      <xdr:rowOff>66675</xdr:rowOff>
    </xdr:from>
    <xdr:to>
      <xdr:col>31</xdr:col>
      <xdr:colOff>171450</xdr:colOff>
      <xdr:row>37</xdr:row>
      <xdr:rowOff>109538</xdr:rowOff>
    </xdr:to>
    <xdr:graphicFrame macro="">
      <xdr:nvGraphicFramePr>
        <xdr:cNvPr id="21" name="Gráfico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400050</xdr:colOff>
      <xdr:row>39</xdr:row>
      <xdr:rowOff>76200</xdr:rowOff>
    </xdr:from>
    <xdr:to>
      <xdr:col>31</xdr:col>
      <xdr:colOff>152400</xdr:colOff>
      <xdr:row>55</xdr:row>
      <xdr:rowOff>180975</xdr:rowOff>
    </xdr:to>
    <xdr:graphicFrame macro="">
      <xdr:nvGraphicFramePr>
        <xdr:cNvPr id="22" name="Gráfico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Compara&#231;&#227;o%20Consumos/Compara&#231;&#227;o%20Consumos%202007_2008_consumos_por_modulos_nuno.xl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Maio_200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Junho_200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Julho_200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Agosto_200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Setembro_2007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Outubro_200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Novembro_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Dezembro_2007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Janeiro_20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Fevereiro_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Compara&#231;&#227;o%20Consumos/Compara&#231;&#227;o%20Consumos%202009_2010_consumos_por_modulos_nuno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Mar&#231;o_20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Abril_200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Maio_2008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Junho_200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Julho_200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Agosto_20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Setembro_200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Outubro_2008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Novembro_200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Dezembro_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Compara&#231;&#227;o%20Consumos/Compara&#231;&#227;o%20Consumos%202011_2012_consumos_por_modulos_nuno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Janeiro_2009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Fevereiro_2009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Mar&#231;o_200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Abril_2009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Maio_2009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Junho_2009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Julho_2009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Agosto_2009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Setembro_2009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Outubro_2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Compara&#231;&#227;o%20Consumos/Compara&#231;&#227;o%20Consumos%202008_2009_consumos_por_modulos_nuno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Novembro_2009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Dezembro_2009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Janeiro_201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Fevereiro_2010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Mar&#231;o_2010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Abril_201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Maio_2010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Junho_2010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Julho_2010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Agosto_20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Compara&#231;&#227;o%20Consumos/Compara&#231;&#227;o%20Consumos%202010_2011_consumos_por_modulos_nuno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Setembro_201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Outubro_2010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Novembro_2010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Dezembro_2010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Janeiro_2011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Fevereiro_2011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Mar&#231;o_201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Abril_201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Maio_2011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Junho_20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fevereiro/Gr&#225;ficos%20Consumos%20(02.03.14)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Julho_201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Agosto_201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Setembro_201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Outubro_2011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Novembro_201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Dezembro_201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Janeiro_2012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Fevereiro_2012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mar&#231;o_2012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abril_20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Fevereiro_2007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Maio_2012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Junho_2012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Julho_2012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Agosto_2012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Setembro_201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Outubro_2012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Novembro_2012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Dezembro_20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Mar&#231;o_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Abril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onsumos"/>
    </sheetNames>
    <sheetDataSet>
      <sheetData sheetId="0">
        <row r="6">
          <cell r="B6">
            <v>123023.90638554505</v>
          </cell>
          <cell r="C6">
            <v>105803.47867990425</v>
          </cell>
          <cell r="D6">
            <v>121642.77483039761</v>
          </cell>
          <cell r="E6">
            <v>113520.48925761247</v>
          </cell>
          <cell r="F6">
            <v>116824.40921799744</v>
          </cell>
          <cell r="G6">
            <v>107549.18069356021</v>
          </cell>
          <cell r="H6">
            <v>110791.54941777157</v>
          </cell>
          <cell r="I6">
            <v>103463.65122517012</v>
          </cell>
          <cell r="J6">
            <v>116583.19367769077</v>
          </cell>
          <cell r="K6">
            <v>125332.34140434962</v>
          </cell>
          <cell r="L6">
            <v>120234.26267127556</v>
          </cell>
          <cell r="M6">
            <v>122674.89442877812</v>
          </cell>
        </row>
        <row r="7">
          <cell r="B7">
            <v>127222.89832659526</v>
          </cell>
          <cell r="C7">
            <v>117675.19048568539</v>
          </cell>
          <cell r="D7">
            <v>123286.89933177436</v>
          </cell>
          <cell r="E7">
            <v>120535.92820511451</v>
          </cell>
          <cell r="F7">
            <v>119032.74928106251</v>
          </cell>
          <cell r="G7">
            <v>118761.55746091536</v>
          </cell>
          <cell r="H7">
            <v>119380.4411876185</v>
          </cell>
          <cell r="I7">
            <v>105297.19488331745</v>
          </cell>
          <cell r="J7">
            <v>114891.09680831496</v>
          </cell>
          <cell r="K7">
            <v>123261.4185862935</v>
          </cell>
          <cell r="L7">
            <v>118338.15607373876</v>
          </cell>
          <cell r="M7">
            <v>123674.05484478688</v>
          </cell>
        </row>
        <row r="11">
          <cell r="B11">
            <v>74612.378619920055</v>
          </cell>
          <cell r="C11">
            <v>62070.944341899114</v>
          </cell>
          <cell r="D11">
            <v>76254.627093261108</v>
          </cell>
          <cell r="E11">
            <v>77374.024878975586</v>
          </cell>
          <cell r="F11">
            <v>80125.293967187812</v>
          </cell>
          <cell r="G11">
            <v>77597.722392733151</v>
          </cell>
          <cell r="H11">
            <v>74244.399297931712</v>
          </cell>
          <cell r="I11">
            <v>50247.200595004797</v>
          </cell>
          <cell r="J11">
            <v>70424.543801156789</v>
          </cell>
          <cell r="K11">
            <v>72477.613337040777</v>
          </cell>
          <cell r="L11">
            <v>61001.880284800412</v>
          </cell>
          <cell r="M11">
            <v>62085.697603131717</v>
          </cell>
        </row>
        <row r="12">
          <cell r="B12">
            <v>59574.634085971629</v>
          </cell>
          <cell r="C12">
            <v>59592.909750775529</v>
          </cell>
          <cell r="D12">
            <v>56568.12592962441</v>
          </cell>
          <cell r="E12">
            <v>73300.461230465851</v>
          </cell>
          <cell r="F12">
            <v>69089.611464463684</v>
          </cell>
          <cell r="G12">
            <v>52319.342181076841</v>
          </cell>
          <cell r="H12">
            <v>57073.054699874207</v>
          </cell>
          <cell r="I12">
            <v>47342.36799688304</v>
          </cell>
          <cell r="J12">
            <v>78069.11747445201</v>
          </cell>
          <cell r="K12">
            <v>58548.781226187893</v>
          </cell>
          <cell r="L12">
            <v>53819.636622859725</v>
          </cell>
          <cell r="M12">
            <v>63426.096466485978</v>
          </cell>
        </row>
        <row r="16">
          <cell r="B16">
            <v>147825.55111411825</v>
          </cell>
          <cell r="C16">
            <v>115452.8698370107</v>
          </cell>
          <cell r="D16">
            <v>111903.14194991237</v>
          </cell>
          <cell r="E16">
            <v>95970.036511786719</v>
          </cell>
          <cell r="F16">
            <v>106536.42834000879</v>
          </cell>
          <cell r="G16">
            <v>125524.40926980792</v>
          </cell>
          <cell r="H16">
            <v>137624.54105597417</v>
          </cell>
          <cell r="I16">
            <v>150417.92678118157</v>
          </cell>
          <cell r="J16">
            <v>128665.57848618401</v>
          </cell>
          <cell r="K16">
            <v>127850.10291017215</v>
          </cell>
          <cell r="L16">
            <v>144501.4727832666</v>
          </cell>
          <cell r="M16">
            <v>162917.20865183364</v>
          </cell>
        </row>
        <row r="21">
          <cell r="B21">
            <v>94317.300621005721</v>
          </cell>
          <cell r="C21">
            <v>73482.562446293887</v>
          </cell>
          <cell r="D21">
            <v>94006.131547536352</v>
          </cell>
          <cell r="E21">
            <v>93333.091446967504</v>
          </cell>
          <cell r="F21">
            <v>100332.92347234921</v>
          </cell>
          <cell r="G21">
            <v>105282.03100649033</v>
          </cell>
          <cell r="H21">
            <v>100515.09688748872</v>
          </cell>
          <cell r="I21">
            <v>86619.330022286886</v>
          </cell>
          <cell r="J21">
            <v>89463.831886962987</v>
          </cell>
          <cell r="K21">
            <v>90847.199802981209</v>
          </cell>
          <cell r="L21">
            <v>65196.811537633665</v>
          </cell>
          <cell r="M21">
            <v>58817.427778910744</v>
          </cell>
        </row>
        <row r="22">
          <cell r="B22">
            <v>58587.459000702373</v>
          </cell>
          <cell r="C22">
            <v>55446.657933881652</v>
          </cell>
          <cell r="D22">
            <v>64216.748762515854</v>
          </cell>
          <cell r="E22">
            <v>58568.759790757074</v>
          </cell>
          <cell r="F22">
            <v>59806.546089831725</v>
          </cell>
          <cell r="G22">
            <v>82401.24196380745</v>
          </cell>
          <cell r="H22">
            <v>91654.549073220725</v>
          </cell>
          <cell r="I22">
            <v>81539.140201469214</v>
          </cell>
          <cell r="J22">
            <v>97235.627417584241</v>
          </cell>
          <cell r="K22">
            <v>61284.328760949531</v>
          </cell>
          <cell r="L22">
            <v>54674.780801369459</v>
          </cell>
          <cell r="M22">
            <v>46244.855580621806</v>
          </cell>
        </row>
        <row r="23">
          <cell r="B23">
            <v>121069.48375741333</v>
          </cell>
          <cell r="C23">
            <v>77612.993710124487</v>
          </cell>
          <cell r="D23">
            <v>51826.352756285982</v>
          </cell>
          <cell r="E23">
            <v>18095.780205267787</v>
          </cell>
          <cell r="F23">
            <v>0</v>
          </cell>
          <cell r="G23">
            <v>0</v>
          </cell>
          <cell r="H23">
            <v>-0.32334187751985155</v>
          </cell>
          <cell r="I23">
            <v>0</v>
          </cell>
          <cell r="J23">
            <v>0</v>
          </cell>
          <cell r="K23">
            <v>0</v>
          </cell>
          <cell r="L23">
            <v>29584.781628168872</v>
          </cell>
          <cell r="M23">
            <v>67339.037708072952</v>
          </cell>
        </row>
        <row r="24">
          <cell r="B24">
            <v>68469.180849060242</v>
          </cell>
          <cell r="C24">
            <v>49124.850772400154</v>
          </cell>
          <cell r="D24">
            <v>47716.131265654083</v>
          </cell>
          <cell r="E24">
            <v>6882.6846395844332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43199.017041867977</v>
          </cell>
          <cell r="M24">
            <v>52971.2784111566</v>
          </cell>
        </row>
        <row r="28">
          <cell r="B28">
            <v>42740.284891600473</v>
          </cell>
          <cell r="C28">
            <v>43199.442846197177</v>
          </cell>
          <cell r="D28">
            <v>55474.243932686113</v>
          </cell>
          <cell r="E28">
            <v>60030.104934027717</v>
          </cell>
          <cell r="F28">
            <v>66192.936459748133</v>
          </cell>
          <cell r="G28">
            <v>72113.458908221131</v>
          </cell>
          <cell r="H28">
            <v>80862.098753881903</v>
          </cell>
          <cell r="I28">
            <v>42122.560202870998</v>
          </cell>
          <cell r="J28">
            <v>69240.753963237308</v>
          </cell>
          <cell r="K28">
            <v>65804.801699017698</v>
          </cell>
          <cell r="L28">
            <v>52173.648057173465</v>
          </cell>
          <cell r="M28">
            <v>48115.817745486362</v>
          </cell>
        </row>
        <row r="30">
          <cell r="B30">
            <v>70193.243036965825</v>
          </cell>
          <cell r="C30">
            <v>68605.983160592092</v>
          </cell>
          <cell r="D30">
            <v>45648.066298143669</v>
          </cell>
          <cell r="E30">
            <v>14912.128869917491</v>
          </cell>
          <cell r="F30">
            <v>0</v>
          </cell>
          <cell r="G30">
            <v>0</v>
          </cell>
          <cell r="H30">
            <v>0.2422477154104854</v>
          </cell>
          <cell r="I30">
            <v>0</v>
          </cell>
          <cell r="J30">
            <v>0</v>
          </cell>
          <cell r="K30">
            <v>0</v>
          </cell>
          <cell r="L30">
            <v>18774.100705996192</v>
          </cell>
          <cell r="M30">
            <v>48817.311742493141</v>
          </cell>
        </row>
        <row r="35">
          <cell r="B35">
            <v>72680.782218930544</v>
          </cell>
          <cell r="C35">
            <v>66859.89554325903</v>
          </cell>
          <cell r="D35">
            <v>54634.771683628758</v>
          </cell>
          <cell r="E35">
            <v>39084.584638936954</v>
          </cell>
          <cell r="F35">
            <v>41790.44160560413</v>
          </cell>
          <cell r="G35">
            <v>70235.085773907442</v>
          </cell>
          <cell r="H35">
            <v>114834.3729481567</v>
          </cell>
          <cell r="I35">
            <v>119369.94055032027</v>
          </cell>
          <cell r="J35">
            <v>104330.85053452717</v>
          </cell>
          <cell r="K35">
            <v>75215.409542046851</v>
          </cell>
          <cell r="L35">
            <v>73249.546373437828</v>
          </cell>
          <cell r="M35">
            <v>74594.027071535369</v>
          </cell>
        </row>
        <row r="37">
          <cell r="B37">
            <v>217210.02406967728</v>
          </cell>
          <cell r="C37">
            <v>178614.12836928578</v>
          </cell>
          <cell r="D37">
            <v>76935.093489080187</v>
          </cell>
          <cell r="E37">
            <v>18086.720773724825</v>
          </cell>
          <cell r="F37">
            <v>0</v>
          </cell>
          <cell r="G37">
            <v>0</v>
          </cell>
          <cell r="H37">
            <v>-8.8746591442031786E-2</v>
          </cell>
          <cell r="I37">
            <v>0</v>
          </cell>
          <cell r="J37">
            <v>0</v>
          </cell>
          <cell r="K37">
            <v>0</v>
          </cell>
          <cell r="L37">
            <v>47905.02581882228</v>
          </cell>
          <cell r="M37">
            <v>150270.17770346755</v>
          </cell>
        </row>
        <row r="38">
          <cell r="B38">
            <v>153066.16323704773</v>
          </cell>
          <cell r="C38">
            <v>120741.73466298138</v>
          </cell>
          <cell r="D38">
            <v>78126.933898869916</v>
          </cell>
          <cell r="E38">
            <v>9435.2762123677894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91858.736523218278</v>
          </cell>
          <cell r="M38">
            <v>183578.15404298942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741896.9</v>
          </cell>
          <cell r="Q53">
            <v>432621.5</v>
          </cell>
        </row>
      </sheetData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716942.9</v>
          </cell>
          <cell r="Q53">
            <v>403715.60000000003</v>
          </cell>
        </row>
      </sheetData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729536.10000000009</v>
          </cell>
          <cell r="Q53">
            <v>402295.5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696731</v>
          </cell>
          <cell r="Q53">
            <v>295417.5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703755.1</v>
          </cell>
          <cell r="Q53">
            <v>374518.5</v>
          </cell>
        </row>
      </sheetData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742513.5</v>
          </cell>
          <cell r="Q53">
            <v>424067.49999999994</v>
          </cell>
        </row>
      </sheetData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722438.29999999993</v>
          </cell>
          <cell r="Q53">
            <v>425837.5</v>
          </cell>
        </row>
      </sheetData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735260.70000000007</v>
          </cell>
          <cell r="Q53">
            <v>413059.5</v>
          </cell>
        </row>
      </sheetData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735458.1</v>
          </cell>
          <cell r="Q53">
            <v>418768.5</v>
          </cell>
        </row>
      </sheetData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699266</v>
          </cell>
          <cell r="Q53">
            <v>415552.5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onsumos"/>
      <sheetName val="Folha1"/>
    </sheetNames>
    <sheetDataSet>
      <sheetData sheetId="0">
        <row r="6">
          <cell r="B6">
            <v>127534.18285780319</v>
          </cell>
          <cell r="C6">
            <v>110075.21511869688</v>
          </cell>
          <cell r="D6">
            <v>120489.53730060629</v>
          </cell>
          <cell r="E6">
            <v>119592.839036554</v>
          </cell>
          <cell r="F6">
            <v>118119.07647772707</v>
          </cell>
          <cell r="G6">
            <v>109824.7225121947</v>
          </cell>
          <cell r="H6">
            <v>111411.34801694767</v>
          </cell>
          <cell r="I6">
            <v>95706.615719578607</v>
          </cell>
          <cell r="J6">
            <v>106529.92297373408</v>
          </cell>
          <cell r="K6">
            <v>109268.62644499465</v>
          </cell>
          <cell r="L6">
            <v>110544.94759604581</v>
          </cell>
          <cell r="M6">
            <v>111769.63739115441</v>
          </cell>
        </row>
        <row r="7">
          <cell r="B7">
            <v>114214.43025196025</v>
          </cell>
          <cell r="C7">
            <v>104887.44122405455</v>
          </cell>
          <cell r="D7">
            <v>120088.79361382684</v>
          </cell>
          <cell r="E7">
            <v>110481.76786959523</v>
          </cell>
          <cell r="F7">
            <v>114041.084766917</v>
          </cell>
          <cell r="G7">
            <v>103736.90507981859</v>
          </cell>
          <cell r="H7">
            <v>111515.93454484755</v>
          </cell>
          <cell r="I7">
            <v>92632.122581135161</v>
          </cell>
          <cell r="J7">
            <v>101550.18815111333</v>
          </cell>
          <cell r="K7">
            <v>109709.59246041346</v>
          </cell>
          <cell r="L7">
            <v>128813.46146805643</v>
          </cell>
          <cell r="M7">
            <v>105609.2670943858</v>
          </cell>
        </row>
        <row r="21">
          <cell r="B21">
            <v>43879.118642852292</v>
          </cell>
          <cell r="C21">
            <v>48861.969961270748</v>
          </cell>
          <cell r="D21">
            <v>54060.112197618299</v>
          </cell>
          <cell r="E21">
            <v>50943.917761671713</v>
          </cell>
          <cell r="F21">
            <v>61777.362598175809</v>
          </cell>
          <cell r="G21">
            <v>86045.005646365418</v>
          </cell>
          <cell r="H21">
            <v>82999.603238863332</v>
          </cell>
          <cell r="I21">
            <v>80152.733248874749</v>
          </cell>
          <cell r="J21">
            <v>78886.721991056969</v>
          </cell>
          <cell r="K21">
            <v>71243.499348577301</v>
          </cell>
          <cell r="L21">
            <v>53523.511490512908</v>
          </cell>
          <cell r="M21">
            <v>48298.826009296034</v>
          </cell>
        </row>
        <row r="22">
          <cell r="B22">
            <v>46103.852187250908</v>
          </cell>
          <cell r="C22">
            <v>47422.331667857397</v>
          </cell>
          <cell r="D22">
            <v>48263.084478557881</v>
          </cell>
          <cell r="E22">
            <v>47077.239749740555</v>
          </cell>
          <cell r="F22">
            <v>62175.568589239192</v>
          </cell>
          <cell r="G22">
            <v>69153.762718784099</v>
          </cell>
          <cell r="H22">
            <v>97725.494635613984</v>
          </cell>
          <cell r="I22">
            <v>92027.607485239612</v>
          </cell>
          <cell r="J22">
            <v>80601.691877872756</v>
          </cell>
          <cell r="K22">
            <v>53253.220526601617</v>
          </cell>
          <cell r="L22">
            <v>51031.801750725041</v>
          </cell>
          <cell r="M22">
            <v>46481.257972845931</v>
          </cell>
        </row>
        <row r="23">
          <cell r="B23">
            <v>78620.211268184532</v>
          </cell>
          <cell r="C23">
            <v>64645.04741628316</v>
          </cell>
          <cell r="D23">
            <v>17138.781956008843</v>
          </cell>
          <cell r="E23">
            <v>2467.8223929698574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13383.536906178013</v>
          </cell>
          <cell r="M23">
            <v>44031.808868014996</v>
          </cell>
        </row>
        <row r="24">
          <cell r="B24">
            <v>49824.892435473521</v>
          </cell>
          <cell r="C24">
            <v>54631.411134325361</v>
          </cell>
          <cell r="D24">
            <v>40584.037593899557</v>
          </cell>
          <cell r="E24">
            <v>5089.8775870352556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23701.043420632664</v>
          </cell>
          <cell r="M24">
            <v>54189.245282492673</v>
          </cell>
        </row>
      </sheetData>
      <sheetData sheetId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734567.20000000007</v>
          </cell>
          <cell r="Q53">
            <v>398901</v>
          </cell>
        </row>
      </sheetData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721753.5</v>
          </cell>
          <cell r="Q53">
            <v>368657.5</v>
          </cell>
        </row>
      </sheetData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742573.9</v>
          </cell>
          <cell r="Q53">
            <v>432829</v>
          </cell>
        </row>
      </sheetData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717352.9</v>
          </cell>
          <cell r="Q53">
            <v>403669.60000000003</v>
          </cell>
        </row>
      </sheetData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733855.10000000009</v>
          </cell>
          <cell r="Q53">
            <v>410006.5</v>
          </cell>
        </row>
      </sheetData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699832</v>
          </cell>
          <cell r="Q53">
            <v>303533</v>
          </cell>
        </row>
      </sheetData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706729.1</v>
          </cell>
          <cell r="Q53">
            <v>383739.5</v>
          </cell>
        </row>
      </sheetData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736006</v>
          </cell>
          <cell r="Q53">
            <v>421040.49999999994</v>
          </cell>
        </row>
      </sheetData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724225.29999999993</v>
          </cell>
          <cell r="Q53">
            <v>418656</v>
          </cell>
        </row>
      </sheetData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732498.45000000007</v>
          </cell>
          <cell r="Q53">
            <v>421215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onsumos"/>
      <sheetName val="Folha1"/>
    </sheetNames>
    <sheetDataSet>
      <sheetData sheetId="0">
        <row r="6">
          <cell r="B6">
            <v>107477.60549332235</v>
          </cell>
          <cell r="C6">
            <v>95716.268494025484</v>
          </cell>
          <cell r="D6">
            <v>104305.51243212511</v>
          </cell>
          <cell r="E6">
            <v>100194.20631868737</v>
          </cell>
          <cell r="F6">
            <v>104186.83860065979</v>
          </cell>
          <cell r="G6">
            <v>101061.09400405805</v>
          </cell>
          <cell r="H6">
            <v>98711.818538541949</v>
          </cell>
          <cell r="I6">
            <v>92419.752284148271</v>
          </cell>
          <cell r="J6">
            <v>99628.828707465742</v>
          </cell>
          <cell r="K6">
            <v>108287.06223028527</v>
          </cell>
          <cell r="L6">
            <v>102885.19718868876</v>
          </cell>
          <cell r="M6">
            <v>101124.67324967906</v>
          </cell>
        </row>
        <row r="7">
          <cell r="B7">
            <v>102084.16939617167</v>
          </cell>
          <cell r="C7">
            <v>95825.384622570142</v>
          </cell>
          <cell r="D7">
            <v>100668.95974131358</v>
          </cell>
          <cell r="E7">
            <v>99128.59580209585</v>
          </cell>
          <cell r="F7">
            <v>100930.7997317978</v>
          </cell>
          <cell r="G7">
            <v>93370.232719600055</v>
          </cell>
          <cell r="H7">
            <v>91202.074731917513</v>
          </cell>
          <cell r="I7">
            <v>73963.293922081488</v>
          </cell>
          <cell r="J7">
            <v>91480.52804874345</v>
          </cell>
          <cell r="K7">
            <v>101904.55278989873</v>
          </cell>
          <cell r="L7">
            <v>108065.54092847316</v>
          </cell>
          <cell r="M7">
            <v>109538.80743228427</v>
          </cell>
        </row>
        <row r="12">
          <cell r="B12">
            <v>58528.295214600257</v>
          </cell>
          <cell r="C12">
            <v>63898.623170979758</v>
          </cell>
          <cell r="D12">
            <v>55537.474424245964</v>
          </cell>
          <cell r="E12">
            <v>67516.363778836909</v>
          </cell>
          <cell r="F12">
            <v>63097.104133378351</v>
          </cell>
          <cell r="G12">
            <v>56300.057276456151</v>
          </cell>
          <cell r="H12">
            <v>47252.798815531409</v>
          </cell>
          <cell r="I12">
            <v>31051.873005929541</v>
          </cell>
          <cell r="J12">
            <v>57158.756980853657</v>
          </cell>
          <cell r="K12">
            <v>46929.549196865177</v>
          </cell>
          <cell r="L12">
            <v>37788.548905664764</v>
          </cell>
          <cell r="M12">
            <v>41510.586013153734</v>
          </cell>
        </row>
        <row r="16">
          <cell r="B16">
            <v>150015.95421679007</v>
          </cell>
          <cell r="C16">
            <v>129443.63808783038</v>
          </cell>
          <cell r="D16">
            <v>139735.14433080729</v>
          </cell>
          <cell r="E16">
            <v>128495.02133175053</v>
          </cell>
          <cell r="F16">
            <v>125640.05800207907</v>
          </cell>
          <cell r="G16">
            <v>115733.84071722592</v>
          </cell>
          <cell r="H16">
            <v>138841.00520921731</v>
          </cell>
          <cell r="I16">
            <v>131711.52810503606</v>
          </cell>
          <cell r="J16">
            <v>130233.22299183604</v>
          </cell>
          <cell r="K16">
            <v>128678.06952045469</v>
          </cell>
          <cell r="L16">
            <v>129225.61789198764</v>
          </cell>
          <cell r="M16">
            <v>134463.01604962884</v>
          </cell>
        </row>
        <row r="17">
          <cell r="B17">
            <v>133777.53196069587</v>
          </cell>
          <cell r="C17">
            <v>127949.45974578116</v>
          </cell>
          <cell r="D17">
            <v>159157.03824801941</v>
          </cell>
          <cell r="E17">
            <v>126542.34972613362</v>
          </cell>
          <cell r="F17">
            <v>123452.76761464005</v>
          </cell>
          <cell r="G17">
            <v>127052.67340196794</v>
          </cell>
          <cell r="H17">
            <v>127727.84481790484</v>
          </cell>
          <cell r="I17">
            <v>136852.02737624667</v>
          </cell>
          <cell r="J17">
            <v>134536.6344871365</v>
          </cell>
          <cell r="K17">
            <v>138139.03667900219</v>
          </cell>
          <cell r="L17">
            <v>155739.12646136878</v>
          </cell>
          <cell r="M17">
            <v>134925.27196460578</v>
          </cell>
        </row>
        <row r="21">
          <cell r="B21">
            <v>50135.44123594604</v>
          </cell>
          <cell r="C21">
            <v>44441.653560590712</v>
          </cell>
          <cell r="D21">
            <v>48183.779142567357</v>
          </cell>
          <cell r="E21">
            <v>57962.17362606214</v>
          </cell>
          <cell r="F21">
            <v>68463.642870522206</v>
          </cell>
          <cell r="G21">
            <v>66053.565277038433</v>
          </cell>
          <cell r="H21">
            <v>67814.422192386279</v>
          </cell>
          <cell r="I21">
            <v>54112.113803559776</v>
          </cell>
          <cell r="J21">
            <v>58055.545705900127</v>
          </cell>
          <cell r="K21">
            <v>50327.385718332807</v>
          </cell>
          <cell r="L21">
            <v>17999.177000809123</v>
          </cell>
          <cell r="M21">
            <v>17651.447</v>
          </cell>
        </row>
        <row r="22">
          <cell r="B22">
            <v>21801.986999819092</v>
          </cell>
          <cell r="C22">
            <v>26951.720583988208</v>
          </cell>
          <cell r="D22">
            <v>31463.623331328385</v>
          </cell>
          <cell r="E22">
            <v>29082.744317511064</v>
          </cell>
          <cell r="F22">
            <v>47867.52780650444</v>
          </cell>
          <cell r="G22">
            <v>51345.16662380792</v>
          </cell>
          <cell r="H22">
            <v>61483.830801096221</v>
          </cell>
          <cell r="I22">
            <v>29082.744317511064</v>
          </cell>
          <cell r="J22">
            <v>63917.24802708489</v>
          </cell>
          <cell r="K22">
            <v>45099.959966654475</v>
          </cell>
          <cell r="L22">
            <v>44438.647517787555</v>
          </cell>
          <cell r="M22">
            <v>23687.909704429272</v>
          </cell>
        </row>
        <row r="23">
          <cell r="B23">
            <v>56541.984734993355</v>
          </cell>
          <cell r="C23">
            <v>46622.44708126974</v>
          </cell>
          <cell r="D23">
            <v>24132.230458290851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24673.6955061761</v>
          </cell>
          <cell r="M23">
            <v>37216.564411162777</v>
          </cell>
        </row>
        <row r="24">
          <cell r="B24">
            <v>42305.942468414003</v>
          </cell>
          <cell r="C24">
            <v>52677.02819739603</v>
          </cell>
          <cell r="D24">
            <v>13009.282015054469</v>
          </cell>
          <cell r="E24">
            <v>6876.6129671801809</v>
          </cell>
          <cell r="F24">
            <v>1803.5368802055968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2521.8596259020028</v>
          </cell>
          <cell r="L24">
            <v>24001</v>
          </cell>
          <cell r="M24">
            <v>37985.926254607424</v>
          </cell>
        </row>
        <row r="29">
          <cell r="B29">
            <v>17220.528270771872</v>
          </cell>
          <cell r="C29">
            <v>24835.354193742962</v>
          </cell>
          <cell r="D29">
            <v>22041.958089885095</v>
          </cell>
          <cell r="E29">
            <v>28011.62790251373</v>
          </cell>
          <cell r="F29">
            <v>33854.595494317851</v>
          </cell>
          <cell r="G29">
            <v>38376.386902257764</v>
          </cell>
          <cell r="H29">
            <v>37237.985627467213</v>
          </cell>
          <cell r="I29">
            <v>27914.117877515582</v>
          </cell>
          <cell r="J29">
            <v>33536.126550031178</v>
          </cell>
          <cell r="K29">
            <v>23510.632472206024</v>
          </cell>
          <cell r="L29">
            <v>25103</v>
          </cell>
          <cell r="M29">
            <v>17953.376914968539</v>
          </cell>
        </row>
        <row r="31">
          <cell r="B31">
            <v>29826.638901618975</v>
          </cell>
          <cell r="C31">
            <v>62981.735460049516</v>
          </cell>
          <cell r="D31">
            <v>9521.7829494494545</v>
          </cell>
          <cell r="E31">
            <v>8285.48098593127</v>
          </cell>
          <cell r="F31">
            <v>1471.1097520812054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1316.3492891218398</v>
          </cell>
          <cell r="L31">
            <v>15353</v>
          </cell>
          <cell r="M31">
            <v>30678.327523449421</v>
          </cell>
        </row>
        <row r="35">
          <cell r="B35">
            <v>75261.80113976862</v>
          </cell>
          <cell r="C35">
            <v>53813.18689699204</v>
          </cell>
          <cell r="D35">
            <v>68765.723398249349</v>
          </cell>
          <cell r="E35">
            <v>72344.153473920334</v>
          </cell>
          <cell r="F35">
            <v>77765.692287899379</v>
          </cell>
          <cell r="G35">
            <v>81294.607802990897</v>
          </cell>
          <cell r="H35">
            <v>105431.35105604967</v>
          </cell>
          <cell r="I35">
            <v>89050.57669344313</v>
          </cell>
          <cell r="J35">
            <v>76112.226982569075</v>
          </cell>
          <cell r="K35">
            <v>61034.828464313527</v>
          </cell>
          <cell r="L35">
            <v>37597.62075932166</v>
          </cell>
          <cell r="M35">
            <v>28605.900352011638</v>
          </cell>
        </row>
        <row r="36">
          <cell r="B36">
            <v>33096.102576553181</v>
          </cell>
          <cell r="C36">
            <v>57494.130813979085</v>
          </cell>
          <cell r="D36">
            <v>79346.511025518266</v>
          </cell>
          <cell r="E36">
            <v>84157.079301883947</v>
          </cell>
          <cell r="F36">
            <v>128030.58759126261</v>
          </cell>
          <cell r="G36">
            <v>145470.15700288635</v>
          </cell>
          <cell r="H36">
            <v>153850.76893798754</v>
          </cell>
          <cell r="I36">
            <v>155124.03013527708</v>
          </cell>
          <cell r="J36">
            <v>159583.15679684366</v>
          </cell>
          <cell r="K36">
            <v>112365.37581356632</v>
          </cell>
          <cell r="L36">
            <v>89296.298693724122</v>
          </cell>
          <cell r="M36">
            <v>39503.335890452938</v>
          </cell>
        </row>
        <row r="37">
          <cell r="B37">
            <v>175359.64063288199</v>
          </cell>
          <cell r="C37">
            <v>130098.56821283601</v>
          </cell>
          <cell r="D37">
            <v>74613.695928762827</v>
          </cell>
          <cell r="E37">
            <v>74613.695928762827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64750.655483303737</v>
          </cell>
          <cell r="M37">
            <v>121437.37337088001</v>
          </cell>
        </row>
        <row r="38">
          <cell r="B38">
            <v>136786.75078460801</v>
          </cell>
          <cell r="C38">
            <v>231563.08568567244</v>
          </cell>
          <cell r="D38">
            <v>63574.141962700647</v>
          </cell>
          <cell r="E38">
            <v>37933.065713717588</v>
          </cell>
          <cell r="F38">
            <v>8672.016307139409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11582.122297358012</v>
          </cell>
          <cell r="L38">
            <v>95050</v>
          </cell>
          <cell r="M38">
            <v>135612.40683544317</v>
          </cell>
        </row>
      </sheetData>
      <sheetData sheetId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7">
          <cell r="I47">
            <v>17.3</v>
          </cell>
        </row>
        <row r="53">
          <cell r="Q53">
            <v>413619.5</v>
          </cell>
        </row>
      </sheetData>
      <sheetData sheetId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7">
          <cell r="I47">
            <v>17.900000000000002</v>
          </cell>
        </row>
        <row r="53">
          <cell r="Q53">
            <v>414305</v>
          </cell>
        </row>
      </sheetData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69.933512750920627</v>
          </cell>
        </row>
        <row r="53">
          <cell r="Q53">
            <v>397684</v>
          </cell>
        </row>
      </sheetData>
      <sheetData sheetId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71.149036145762679</v>
          </cell>
        </row>
        <row r="53">
          <cell r="Q53">
            <v>362411.5</v>
          </cell>
        </row>
      </sheetData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70.986711111999</v>
          </cell>
        </row>
        <row r="53">
          <cell r="Q53">
            <v>439245.5</v>
          </cell>
        </row>
      </sheetData>
      <sheetData sheetId="1"/>
      <sheetData sheetId="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70.418443481081724</v>
          </cell>
        </row>
        <row r="53">
          <cell r="Q53">
            <v>400144.60000000003</v>
          </cell>
        </row>
      </sheetData>
      <sheetData sheetId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69.742936264898759</v>
          </cell>
        </row>
        <row r="53">
          <cell r="Q53">
            <v>395262.5</v>
          </cell>
        </row>
      </sheetData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66.305434183902079</v>
          </cell>
        </row>
        <row r="53">
          <cell r="Q53">
            <v>307013.5</v>
          </cell>
        </row>
      </sheetData>
      <sheetData sheetId="1"/>
      <sheetData sheetId="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69.218732489899423</v>
          </cell>
        </row>
        <row r="53">
          <cell r="Q53">
            <v>381370.5</v>
          </cell>
        </row>
      </sheetData>
      <sheetData sheetId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70.049439724347607</v>
          </cell>
        </row>
        <row r="53">
          <cell r="Q53">
            <v>422969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onsumos"/>
      <sheetName val="Folha1"/>
    </sheetNames>
    <sheetDataSet>
      <sheetData sheetId="0">
        <row r="7">
          <cell r="N7">
            <v>1350866.6714460372</v>
          </cell>
        </row>
        <row r="12">
          <cell r="B12">
            <v>53496.332423999913</v>
          </cell>
          <cell r="C12">
            <v>55428.457100832406</v>
          </cell>
          <cell r="D12">
            <v>65077.584059365239</v>
          </cell>
          <cell r="E12">
            <v>60911.526055211107</v>
          </cell>
          <cell r="F12">
            <v>62124.430786560399</v>
          </cell>
          <cell r="G12">
            <v>60354.694463133914</v>
          </cell>
          <cell r="H12">
            <v>60084.863997209817</v>
          </cell>
          <cell r="I12">
            <v>47819.497869497223</v>
          </cell>
          <cell r="J12">
            <v>69312.893805126601</v>
          </cell>
          <cell r="K12">
            <v>62547.279032584906</v>
          </cell>
          <cell r="L12">
            <v>67663.260650733806</v>
          </cell>
          <cell r="M12">
            <v>61693.260825511112</v>
          </cell>
        </row>
        <row r="16">
          <cell r="B16">
            <v>168376.92508732941</v>
          </cell>
          <cell r="C16">
            <v>139221.38981472439</v>
          </cell>
          <cell r="D16">
            <v>132921.15613325813</v>
          </cell>
          <cell r="E16">
            <v>121844.24581486464</v>
          </cell>
          <cell r="F16">
            <v>132695.65366928131</v>
          </cell>
          <cell r="G16">
            <v>113789.0622277287</v>
          </cell>
          <cell r="H16">
            <v>128130.79070343323</v>
          </cell>
          <cell r="I16">
            <v>119879.01668668447</v>
          </cell>
          <cell r="J16">
            <v>114438.22967897165</v>
          </cell>
          <cell r="K16">
            <v>125483.54761291607</v>
          </cell>
          <cell r="L16">
            <v>132629.20821754538</v>
          </cell>
          <cell r="M16">
            <v>147920.08639782105</v>
          </cell>
        </row>
        <row r="17">
          <cell r="B17">
            <v>140087.10681812651</v>
          </cell>
          <cell r="C17">
            <v>116252.54445727274</v>
          </cell>
          <cell r="D17">
            <v>131337.83105237747</v>
          </cell>
          <cell r="E17">
            <v>125682.52263945162</v>
          </cell>
          <cell r="F17">
            <v>130760.56474299387</v>
          </cell>
          <cell r="G17">
            <v>131385.84123325071</v>
          </cell>
          <cell r="H17">
            <v>139434.38179434335</v>
          </cell>
          <cell r="I17">
            <v>141364.9790096065</v>
          </cell>
          <cell r="J17">
            <v>117901.30646513788</v>
          </cell>
          <cell r="K17">
            <v>133633.97852607348</v>
          </cell>
          <cell r="L17">
            <v>128275.30878648552</v>
          </cell>
          <cell r="M17">
            <v>141105.35433587138</v>
          </cell>
        </row>
        <row r="28">
          <cell r="B28">
            <v>47171.94374566467</v>
          </cell>
          <cell r="C28">
            <v>49918.092992897764</v>
          </cell>
          <cell r="D28">
            <v>51838.910109956312</v>
          </cell>
          <cell r="E28">
            <v>47663.364195049493</v>
          </cell>
          <cell r="F28">
            <v>46435.610390364309</v>
          </cell>
          <cell r="G28">
            <v>65118.573697801818</v>
          </cell>
          <cell r="H28">
            <v>64105.456019762394</v>
          </cell>
          <cell r="I28">
            <v>46955.370377432497</v>
          </cell>
          <cell r="J28">
            <v>52440.459545033453</v>
          </cell>
          <cell r="K28">
            <v>46103.002401981103</v>
          </cell>
          <cell r="L28">
            <v>35130.009070380773</v>
          </cell>
          <cell r="M28">
            <v>37965.771607312585</v>
          </cell>
        </row>
        <row r="29">
          <cell r="B29">
            <v>28532.848187309624</v>
          </cell>
          <cell r="C29">
            <v>32755.760966002039</v>
          </cell>
          <cell r="D29">
            <v>37702.165793561318</v>
          </cell>
          <cell r="E29">
            <v>36666.623902968699</v>
          </cell>
          <cell r="F29">
            <v>51648.09203354449</v>
          </cell>
          <cell r="G29">
            <v>60850.567017703106</v>
          </cell>
          <cell r="H29">
            <v>50001.854748823571</v>
          </cell>
          <cell r="I29">
            <v>32778.652645765593</v>
          </cell>
          <cell r="J29">
            <v>69755.928471988474</v>
          </cell>
          <cell r="K29">
            <v>63414.795289946138</v>
          </cell>
          <cell r="L29">
            <v>49697.423875910317</v>
          </cell>
          <cell r="M29">
            <v>36896.067248431551</v>
          </cell>
        </row>
        <row r="30">
          <cell r="B30">
            <v>44112.814714775188</v>
          </cell>
          <cell r="C30">
            <v>42680.17097951311</v>
          </cell>
          <cell r="D30">
            <v>30419.847060619431</v>
          </cell>
          <cell r="E30">
            <v>4437.6955647029754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26575.434607038609</v>
          </cell>
          <cell r="M30">
            <v>54551.722719929756</v>
          </cell>
        </row>
        <row r="31">
          <cell r="B31">
            <v>43019.778901109523</v>
          </cell>
          <cell r="C31">
            <v>45748.332254175672</v>
          </cell>
          <cell r="D31">
            <v>10797.693294321347</v>
          </cell>
          <cell r="E31">
            <v>1893.076149094537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14262.839964488952</v>
          </cell>
          <cell r="M31">
            <v>35080.835786601107</v>
          </cell>
        </row>
        <row r="35">
          <cell r="B35">
            <v>82710.631760324919</v>
          </cell>
          <cell r="C35">
            <v>74461.075334167341</v>
          </cell>
          <cell r="D35">
            <v>73817.494341867408</v>
          </cell>
          <cell r="E35">
            <v>63096.926568178787</v>
          </cell>
          <cell r="F35">
            <v>72425.523100925318</v>
          </cell>
          <cell r="G35">
            <v>102106.58044409135</v>
          </cell>
          <cell r="H35">
            <v>128876.07660069615</v>
          </cell>
          <cell r="I35">
            <v>141651.24167574741</v>
          </cell>
          <cell r="J35">
            <v>119224.49004263975</v>
          </cell>
          <cell r="K35">
            <v>76913.517110882865</v>
          </cell>
          <cell r="L35">
            <v>67559.45749445603</v>
          </cell>
          <cell r="M35">
            <v>90290.406522406905</v>
          </cell>
        </row>
        <row r="36">
          <cell r="B36">
            <v>81538.180583226043</v>
          </cell>
          <cell r="C36">
            <v>67425.910865990096</v>
          </cell>
          <cell r="D36">
            <v>93748.208196884574</v>
          </cell>
          <cell r="E36">
            <v>85789.047513720405</v>
          </cell>
          <cell r="F36">
            <v>78924.601152306815</v>
          </cell>
          <cell r="G36">
            <v>116195.12179374056</v>
          </cell>
          <cell r="H36">
            <v>142398.80861637159</v>
          </cell>
          <cell r="I36">
            <v>132895.85290239714</v>
          </cell>
          <cell r="J36">
            <v>91919.900552149076</v>
          </cell>
          <cell r="K36">
            <v>100807.17516798031</v>
          </cell>
          <cell r="L36">
            <v>79895.463180285398</v>
          </cell>
          <cell r="M36">
            <v>90027.883668210663</v>
          </cell>
        </row>
        <row r="38">
          <cell r="B38">
            <v>226545.46553327411</v>
          </cell>
          <cell r="C38">
            <v>147573.38022015718</v>
          </cell>
          <cell r="D38">
            <v>49131.64707028347</v>
          </cell>
          <cell r="E38">
            <v>7021.8405730390004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35679.16117078274</v>
          </cell>
          <cell r="M38">
            <v>148805.59677716807</v>
          </cell>
        </row>
      </sheetData>
      <sheetData sheetId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70.312778318440536</v>
          </cell>
        </row>
        <row r="53">
          <cell r="Q53">
            <v>428426.5</v>
          </cell>
        </row>
      </sheetData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69.412383618774726</v>
          </cell>
        </row>
        <row r="53">
          <cell r="Q53">
            <v>404769</v>
          </cell>
        </row>
      </sheetData>
      <sheetData sheetId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69.179159781540534</v>
          </cell>
        </row>
        <row r="53">
          <cell r="Q53">
            <v>427395.5</v>
          </cell>
        </row>
      </sheetData>
      <sheetData sheetId="1"/>
      <sheetData sheetId="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70.601820839810756</v>
          </cell>
        </row>
        <row r="53">
          <cell r="Q53">
            <v>411584.5</v>
          </cell>
        </row>
      </sheetData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70.28369097936698</v>
          </cell>
        </row>
        <row r="53">
          <cell r="Q53">
            <v>410405.5</v>
          </cell>
        </row>
      </sheetData>
      <sheetData sheetId="1"/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70.503022796307775</v>
          </cell>
        </row>
        <row r="53">
          <cell r="Q53">
            <v>364996</v>
          </cell>
        </row>
      </sheetData>
      <sheetData sheetId="1"/>
      <sheetData sheetId="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70.92693061790618</v>
          </cell>
        </row>
        <row r="53">
          <cell r="Q53">
            <v>424426</v>
          </cell>
        </row>
      </sheetData>
      <sheetData sheetId="1"/>
      <sheetData sheetId="2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70.207221288350198</v>
          </cell>
        </row>
        <row r="53">
          <cell r="Q53">
            <v>393976.60000000003</v>
          </cell>
        </row>
      </sheetData>
      <sheetData sheetId="1"/>
      <sheetData sheetId="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70.015905949414901</v>
          </cell>
        </row>
        <row r="53">
          <cell r="Q53">
            <v>381434.5</v>
          </cell>
        </row>
      </sheetData>
      <sheetData sheetId="1"/>
      <sheetData sheetId="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66.283097360202206</v>
          </cell>
        </row>
        <row r="53">
          <cell r="Q53">
            <v>295293.5</v>
          </cell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onsumos"/>
      <sheetName val="Folha1"/>
    </sheetNames>
    <sheetDataSet>
      <sheetData sheetId="0">
        <row r="7">
          <cell r="N7">
            <v>1215998.8575416873</v>
          </cell>
        </row>
        <row r="11">
          <cell r="B11">
            <v>60450.546916731269</v>
          </cell>
          <cell r="C11">
            <v>65299.333465937416</v>
          </cell>
          <cell r="D11">
            <v>67684.398130534537</v>
          </cell>
          <cell r="E11">
            <v>62269.690098627048</v>
          </cell>
          <cell r="F11">
            <v>67979.144897236838</v>
          </cell>
          <cell r="G11">
            <v>62799.726157837911</v>
          </cell>
          <cell r="H11">
            <v>57969.465852777925</v>
          </cell>
          <cell r="I11">
            <v>51952.148907073039</v>
          </cell>
          <cell r="J11">
            <v>50771.725552590673</v>
          </cell>
          <cell r="K11">
            <v>63917.239187367886</v>
          </cell>
          <cell r="L11">
            <v>47266.305224352895</v>
          </cell>
          <cell r="M11">
            <v>54848.513210417281</v>
          </cell>
        </row>
        <row r="12">
          <cell r="B12">
            <v>65212.21665669122</v>
          </cell>
          <cell r="C12">
            <v>68151.258984830682</v>
          </cell>
          <cell r="D12">
            <v>61351.292480627497</v>
          </cell>
          <cell r="E12">
            <v>57223.041522382657</v>
          </cell>
          <cell r="F12">
            <v>68505.60576887583</v>
          </cell>
          <cell r="G12">
            <v>57648.060683418938</v>
          </cell>
          <cell r="H12">
            <v>51749.575150142453</v>
          </cell>
          <cell r="I12">
            <v>43298.950189800031</v>
          </cell>
          <cell r="J12">
            <v>45564.89323833424</v>
          </cell>
          <cell r="K12">
            <v>56171.241791125285</v>
          </cell>
          <cell r="L12">
            <v>59160.489918773164</v>
          </cell>
          <cell r="M12">
            <v>52996.34980842712</v>
          </cell>
        </row>
        <row r="16">
          <cell r="B16">
            <v>146213.00855721527</v>
          </cell>
          <cell r="C16">
            <v>130767.8468795591</v>
          </cell>
          <cell r="D16">
            <v>144555.9320208868</v>
          </cell>
          <cell r="E16">
            <v>132991.55104399141</v>
          </cell>
          <cell r="F16">
            <v>131967.52580517324</v>
          </cell>
          <cell r="G16">
            <v>123843.23081077928</v>
          </cell>
          <cell r="H16">
            <v>127201.16788484556</v>
          </cell>
          <cell r="I16">
            <v>134825.0943754341</v>
          </cell>
          <cell r="J16">
            <v>128389.23173493684</v>
          </cell>
          <cell r="K16">
            <v>136916.0721547498</v>
          </cell>
          <cell r="L16">
            <v>123438.49333769016</v>
          </cell>
          <cell r="M16">
            <v>143244.22021197301</v>
          </cell>
        </row>
        <row r="28">
          <cell r="B28">
            <v>42042.039141122645</v>
          </cell>
          <cell r="C28">
            <v>37182.149179966793</v>
          </cell>
          <cell r="D28">
            <v>41491.263760286674</v>
          </cell>
          <cell r="E28">
            <v>41592.774375356443</v>
          </cell>
          <cell r="F28">
            <v>48588.905400472926</v>
          </cell>
          <cell r="G28">
            <v>49355.363968543876</v>
          </cell>
          <cell r="H28">
            <v>50969.955866542194</v>
          </cell>
          <cell r="I28">
            <v>39185.627260871879</v>
          </cell>
          <cell r="J28">
            <v>51412.782085233477</v>
          </cell>
          <cell r="K28">
            <v>52251.55224474796</v>
          </cell>
          <cell r="L28">
            <v>35303.52485232507</v>
          </cell>
          <cell r="M28">
            <v>34273.386791912373</v>
          </cell>
        </row>
        <row r="29">
          <cell r="B29">
            <v>43693.134752849845</v>
          </cell>
          <cell r="C29">
            <v>26197.960584204699</v>
          </cell>
          <cell r="D29">
            <v>28155.137263316341</v>
          </cell>
          <cell r="E29">
            <v>36977.347731536611</v>
          </cell>
          <cell r="F29">
            <v>61602.460319967562</v>
          </cell>
          <cell r="G29">
            <v>47994.533689326774</v>
          </cell>
          <cell r="H29">
            <v>38807.771366610839</v>
          </cell>
          <cell r="I29">
            <v>22423.580126002165</v>
          </cell>
          <cell r="J29">
            <v>31800.127362425039</v>
          </cell>
          <cell r="K29">
            <v>45362.649181079367</v>
          </cell>
          <cell r="L29">
            <v>33432.330631673634</v>
          </cell>
          <cell r="M29">
            <v>17590.499000000003</v>
          </cell>
        </row>
        <row r="30">
          <cell r="B30">
            <v>55153.090915238208</v>
          </cell>
          <cell r="C30">
            <v>53153.98805988198</v>
          </cell>
          <cell r="D30">
            <v>38671.59500104902</v>
          </cell>
          <cell r="E30">
            <v>4230.7828027557507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13345.566426463309</v>
          </cell>
          <cell r="M30">
            <v>39029.459269235645</v>
          </cell>
        </row>
        <row r="31">
          <cell r="B31">
            <v>65617.485752031207</v>
          </cell>
          <cell r="C31">
            <v>27117.697586190854</v>
          </cell>
          <cell r="D31">
            <v>14129.833724041237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30953.123001724205</v>
          </cell>
          <cell r="M31">
            <v>33342.519851368583</v>
          </cell>
        </row>
        <row r="35">
          <cell r="B35">
            <v>87537.348146829783</v>
          </cell>
          <cell r="C35">
            <v>73717.073515535521</v>
          </cell>
          <cell r="D35">
            <v>101631.62716054257</v>
          </cell>
          <cell r="E35">
            <v>96368.344433453458</v>
          </cell>
          <cell r="F35">
            <v>99561.751812483199</v>
          </cell>
          <cell r="G35">
            <v>116555.6375987557</v>
          </cell>
          <cell r="H35">
            <v>161098.63375615171</v>
          </cell>
          <cell r="I35">
            <v>168555.70220596343</v>
          </cell>
          <cell r="J35">
            <v>113138.42343703382</v>
          </cell>
          <cell r="K35">
            <v>72605.788126513988</v>
          </cell>
          <cell r="L35">
            <v>62892.787302829252</v>
          </cell>
          <cell r="M35">
            <v>82432.988703297451</v>
          </cell>
        </row>
        <row r="37">
          <cell r="B37">
            <v>177403.63066994239</v>
          </cell>
          <cell r="C37">
            <v>173883.40008417214</v>
          </cell>
          <cell r="D37">
            <v>158428.39409871685</v>
          </cell>
          <cell r="E37">
            <v>16905.769992250735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55386.367483866903</v>
          </cell>
          <cell r="M37">
            <v>184686.12577917159</v>
          </cell>
        </row>
      </sheetData>
      <sheetData sheetId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69.521690406676697</v>
          </cell>
        </row>
        <row r="53">
          <cell r="Q53">
            <v>366719</v>
          </cell>
        </row>
      </sheetData>
      <sheetData sheetId="1"/>
      <sheetData sheetId="2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69.848227561623659</v>
          </cell>
        </row>
        <row r="53">
          <cell r="Q53">
            <v>424495</v>
          </cell>
        </row>
      </sheetData>
      <sheetData sheetId="1"/>
      <sheetData sheetId="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70.65726896497489</v>
          </cell>
        </row>
        <row r="53">
          <cell r="Q53">
            <v>399472.5</v>
          </cell>
        </row>
      </sheetData>
      <sheetData sheetId="1"/>
      <sheetData sheetId="2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69.35524777416596</v>
          </cell>
        </row>
        <row r="53">
          <cell r="Q53">
            <v>391737</v>
          </cell>
        </row>
      </sheetData>
      <sheetData sheetId="1"/>
      <sheetData sheetId="2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69.111578522782509</v>
          </cell>
        </row>
        <row r="53">
          <cell r="Q53">
            <v>432653.5</v>
          </cell>
        </row>
      </sheetData>
      <sheetData sheetId="1"/>
      <sheetData sheetId="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71.09968697733008</v>
          </cell>
        </row>
        <row r="53">
          <cell r="Q53">
            <v>390712.5</v>
          </cell>
        </row>
      </sheetData>
      <sheetData sheetId="1"/>
      <sheetData sheetId="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69.874369636379726</v>
          </cell>
        </row>
        <row r="53">
          <cell r="Q53">
            <v>384218</v>
          </cell>
        </row>
      </sheetData>
      <sheetData sheetId="1"/>
      <sheetData sheetId="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69.692647969565598</v>
          </cell>
        </row>
        <row r="53">
          <cell r="Q53">
            <v>353458</v>
          </cell>
        </row>
      </sheetData>
      <sheetData sheetId="1"/>
      <sheetData sheetId="2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70.213474584252538</v>
          </cell>
        </row>
        <row r="53">
          <cell r="Q53">
            <v>419752</v>
          </cell>
        </row>
      </sheetData>
      <sheetData sheetId="1"/>
      <sheetData sheetId="2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70.192348147492794</v>
          </cell>
        </row>
        <row r="53">
          <cell r="Q53">
            <v>386441.10000000003</v>
          </cell>
        </row>
      </sheetData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is 2012 MOD's"/>
      <sheetName val="Globais 07-12 MOD's"/>
      <sheetName val="Mensais 07-12 MOD's"/>
      <sheetName val="FimOcup.BB_2"/>
      <sheetName val="Regressão_1"/>
      <sheetName val="Regressão_2"/>
      <sheetName val="Regressão_3"/>
      <sheetName val="FimOcup._3"/>
      <sheetName val="Chillers_3"/>
      <sheetName val="FimOcup.Foyer_2"/>
      <sheetName val="Chillers_1"/>
      <sheetName val="Chillers_2"/>
      <sheetName val="Indicadores"/>
      <sheetName val="Folha1"/>
    </sheetNames>
    <sheetDataSet>
      <sheetData sheetId="0" refreshError="1"/>
      <sheetData sheetId="1">
        <row r="6">
          <cell r="C6">
            <v>838516.32621304307</v>
          </cell>
        </row>
        <row r="7">
          <cell r="C7">
            <v>698070.1523941484</v>
          </cell>
        </row>
        <row r="8">
          <cell r="C8">
            <v>266951.07606182387</v>
          </cell>
        </row>
        <row r="44">
          <cell r="C44">
            <v>728724.13912912086</v>
          </cell>
        </row>
        <row r="45">
          <cell r="C45">
            <v>590846.56415363715</v>
          </cell>
        </row>
        <row r="46">
          <cell r="C46">
            <v>202777.68564657908</v>
          </cell>
        </row>
        <row r="82">
          <cell r="C82">
            <v>726514.08106976631</v>
          </cell>
        </row>
        <row r="83">
          <cell r="C83">
            <v>550700.78018195485</v>
          </cell>
        </row>
        <row r="84">
          <cell r="C84">
            <v>150802.55634979112</v>
          </cell>
        </row>
        <row r="120">
          <cell r="C120">
            <v>713208.23760148452</v>
          </cell>
        </row>
        <row r="121">
          <cell r="C121">
            <v>523649.32492738229</v>
          </cell>
        </row>
        <row r="122">
          <cell r="C122">
            <v>203584.48247462389</v>
          </cell>
        </row>
        <row r="158">
          <cell r="C158">
            <v>687032.97619342909</v>
          </cell>
        </row>
        <row r="159">
          <cell r="C159">
            <v>434037.53200899286</v>
          </cell>
        </row>
        <row r="160">
          <cell r="C160">
            <v>171160.65991535611</v>
          </cell>
        </row>
        <row r="196">
          <cell r="C196">
            <v>626570.03091649583</v>
          </cell>
        </row>
        <row r="197">
          <cell r="C197">
            <v>329595.69029567781</v>
          </cell>
        </row>
        <row r="198">
          <cell r="C198">
            <v>159434.42486170167</v>
          </cell>
        </row>
        <row r="202">
          <cell r="N202" t="str">
            <v>Ilum.&amp;Tom.</v>
          </cell>
        </row>
        <row r="203">
          <cell r="N203" t="str">
            <v>AC-Frio</v>
          </cell>
        </row>
        <row r="204">
          <cell r="N204" t="str">
            <v>AC-Quente</v>
          </cell>
        </row>
        <row r="331">
          <cell r="A331">
            <v>2007</v>
          </cell>
        </row>
        <row r="332">
          <cell r="A332">
            <v>2008</v>
          </cell>
        </row>
        <row r="333">
          <cell r="A333">
            <v>2009</v>
          </cell>
        </row>
        <row r="334">
          <cell r="A334">
            <v>2010</v>
          </cell>
        </row>
        <row r="335">
          <cell r="A335">
            <v>2011</v>
          </cell>
        </row>
        <row r="336">
          <cell r="A336">
            <v>2012</v>
          </cell>
        </row>
      </sheetData>
      <sheetData sheetId="2">
        <row r="27">
          <cell r="D27">
            <v>74612.378619920055</v>
          </cell>
          <cell r="E27">
            <v>62070.944341899114</v>
          </cell>
          <cell r="F27">
            <v>76254.627093261108</v>
          </cell>
          <cell r="G27">
            <v>77374.024878975586</v>
          </cell>
          <cell r="H27">
            <v>80125.293967187812</v>
          </cell>
          <cell r="I27">
            <v>77597.722392733151</v>
          </cell>
          <cell r="J27">
            <v>74244.399297931712</v>
          </cell>
          <cell r="K27">
            <v>50247.200595004797</v>
          </cell>
          <cell r="L27">
            <v>70424.543801156789</v>
          </cell>
          <cell r="M27">
            <v>72477.613337040777</v>
          </cell>
          <cell r="N27">
            <v>61001.880284800412</v>
          </cell>
          <cell r="O27">
            <v>62085.697603131717</v>
          </cell>
        </row>
        <row r="28">
          <cell r="D28">
            <v>59574.634085971629</v>
          </cell>
          <cell r="E28">
            <v>59592.909750775529</v>
          </cell>
          <cell r="F28">
            <v>56568.12592962441</v>
          </cell>
          <cell r="G28">
            <v>73300.461230465851</v>
          </cell>
          <cell r="H28">
            <v>69089.611464463684</v>
          </cell>
          <cell r="I28">
            <v>52319.342181076841</v>
          </cell>
          <cell r="J28">
            <v>57073.054699874207</v>
          </cell>
          <cell r="K28">
            <v>47342.36799688304</v>
          </cell>
          <cell r="L28">
            <v>78069.11747445201</v>
          </cell>
          <cell r="M28">
            <v>58548.781226187893</v>
          </cell>
          <cell r="N28">
            <v>53819.636622859725</v>
          </cell>
          <cell r="O28">
            <v>63426.096466485978</v>
          </cell>
        </row>
        <row r="29">
          <cell r="D29">
            <v>53496.332423999913</v>
          </cell>
          <cell r="E29">
            <v>55428.457100832406</v>
          </cell>
          <cell r="F29">
            <v>65077.584059365239</v>
          </cell>
          <cell r="G29">
            <v>60911.526055211107</v>
          </cell>
          <cell r="H29">
            <v>62124.430786560399</v>
          </cell>
          <cell r="I29">
            <v>60354.694463133914</v>
          </cell>
          <cell r="J29">
            <v>60084.863997209817</v>
          </cell>
          <cell r="K29">
            <v>47819.497869497223</v>
          </cell>
          <cell r="L29">
            <v>69312.893805126601</v>
          </cell>
          <cell r="M29">
            <v>62547.279032584906</v>
          </cell>
          <cell r="N29">
            <v>67663.260650733806</v>
          </cell>
          <cell r="O29">
            <v>61693.260825511112</v>
          </cell>
        </row>
        <row r="30">
          <cell r="D30">
            <v>60450.546916731269</v>
          </cell>
          <cell r="E30">
            <v>65299.333465937416</v>
          </cell>
          <cell r="F30">
            <v>67684.398130534537</v>
          </cell>
          <cell r="G30">
            <v>62269.690098627048</v>
          </cell>
          <cell r="H30">
            <v>67979.144897236838</v>
          </cell>
          <cell r="I30">
            <v>62799.726157837911</v>
          </cell>
          <cell r="J30">
            <v>57969.465852777925</v>
          </cell>
          <cell r="K30">
            <v>51952.148907073039</v>
          </cell>
          <cell r="L30">
            <v>50771.725552590673</v>
          </cell>
          <cell r="M30">
            <v>63917.239187367886</v>
          </cell>
          <cell r="N30">
            <v>47266.305224352895</v>
          </cell>
          <cell r="O30">
            <v>54848.513210417281</v>
          </cell>
        </row>
        <row r="31">
          <cell r="D31">
            <v>65212.21665669122</v>
          </cell>
          <cell r="E31">
            <v>68151.258984830682</v>
          </cell>
          <cell r="F31">
            <v>61351.292480627497</v>
          </cell>
          <cell r="G31">
            <v>57223.041522382657</v>
          </cell>
          <cell r="H31">
            <v>68505.60576887583</v>
          </cell>
          <cell r="I31">
            <v>57648.060683418938</v>
          </cell>
          <cell r="J31">
            <v>51749.575150142453</v>
          </cell>
          <cell r="K31">
            <v>43298.950189800031</v>
          </cell>
          <cell r="L31">
            <v>45564.89323833424</v>
          </cell>
          <cell r="M31">
            <v>56171.241791125285</v>
          </cell>
          <cell r="N31">
            <v>59160.489918773164</v>
          </cell>
          <cell r="O31">
            <v>52996.34980842712</v>
          </cell>
        </row>
        <row r="32">
          <cell r="D32">
            <v>58528.295214600257</v>
          </cell>
          <cell r="E32">
            <v>63898.623170979758</v>
          </cell>
          <cell r="F32">
            <v>55537.474424245964</v>
          </cell>
          <cell r="G32">
            <v>67516.363778836909</v>
          </cell>
          <cell r="H32">
            <v>63097.104133378351</v>
          </cell>
          <cell r="I32">
            <v>56300.057276456151</v>
          </cell>
          <cell r="J32">
            <v>47252.798815531409</v>
          </cell>
          <cell r="K32">
            <v>31051.873005929541</v>
          </cell>
          <cell r="L32">
            <v>57158.756980853657</v>
          </cell>
          <cell r="M32">
            <v>46929.549196865177</v>
          </cell>
          <cell r="N32">
            <v>37788.548905664764</v>
          </cell>
          <cell r="O32">
            <v>41510.586013153734</v>
          </cell>
        </row>
        <row r="33">
          <cell r="D33">
            <v>42740.284891600473</v>
          </cell>
          <cell r="E33">
            <v>43199.442846197177</v>
          </cell>
          <cell r="F33">
            <v>55474.243932686113</v>
          </cell>
          <cell r="G33">
            <v>60030.104934027717</v>
          </cell>
          <cell r="H33">
            <v>66192.936459748133</v>
          </cell>
          <cell r="I33">
            <v>72113.458908221131</v>
          </cell>
          <cell r="J33">
            <v>80862.098753881903</v>
          </cell>
          <cell r="K33">
            <v>42122.560202870998</v>
          </cell>
          <cell r="L33">
            <v>69240.753963237308</v>
          </cell>
          <cell r="M33">
            <v>65804.801699017698</v>
          </cell>
          <cell r="N33">
            <v>52173.648057173465</v>
          </cell>
          <cell r="O33">
            <v>48115.817745486362</v>
          </cell>
        </row>
        <row r="34">
          <cell r="D34">
            <v>47171.94374566467</v>
          </cell>
          <cell r="E34">
            <v>49918.092992897764</v>
          </cell>
          <cell r="F34">
            <v>51838.910109956312</v>
          </cell>
          <cell r="G34">
            <v>47663.364195049493</v>
          </cell>
          <cell r="H34">
            <v>46435.610390364309</v>
          </cell>
          <cell r="I34">
            <v>65118.573697801818</v>
          </cell>
          <cell r="J34">
            <v>64105.456019762394</v>
          </cell>
          <cell r="K34">
            <v>46955.370377432497</v>
          </cell>
          <cell r="L34">
            <v>52440.459545033453</v>
          </cell>
          <cell r="M34">
            <v>46103.002401981103</v>
          </cell>
          <cell r="N34">
            <v>35130.009070380773</v>
          </cell>
          <cell r="O34">
            <v>37965.771607312585</v>
          </cell>
        </row>
        <row r="35">
          <cell r="D35">
            <v>28532.848187309624</v>
          </cell>
          <cell r="E35">
            <v>32755.760966002039</v>
          </cell>
          <cell r="F35">
            <v>37702.165793561318</v>
          </cell>
          <cell r="G35">
            <v>36666.623902968699</v>
          </cell>
          <cell r="H35">
            <v>51648.09203354449</v>
          </cell>
          <cell r="I35">
            <v>60850.567017703106</v>
          </cell>
          <cell r="J35">
            <v>50001.854748823571</v>
          </cell>
          <cell r="K35">
            <v>32778.652645765593</v>
          </cell>
          <cell r="L35">
            <v>69755.928471988474</v>
          </cell>
          <cell r="M35">
            <v>63414.795289946138</v>
          </cell>
          <cell r="N35">
            <v>49697.423875910317</v>
          </cell>
          <cell r="O35">
            <v>36896.067248431551</v>
          </cell>
        </row>
        <row r="36">
          <cell r="D36">
            <v>42042.039141122645</v>
          </cell>
          <cell r="E36">
            <v>37182.149179966793</v>
          </cell>
          <cell r="F36">
            <v>41491.263760286674</v>
          </cell>
          <cell r="G36">
            <v>41592.774375356443</v>
          </cell>
          <cell r="H36">
            <v>48588.905400472926</v>
          </cell>
          <cell r="I36">
            <v>49355.363968543876</v>
          </cell>
          <cell r="J36">
            <v>50969.955866542194</v>
          </cell>
          <cell r="K36">
            <v>39185.627260871879</v>
          </cell>
          <cell r="L36">
            <v>51412.782085233477</v>
          </cell>
          <cell r="M36">
            <v>52251.55224474796</v>
          </cell>
          <cell r="N36">
            <v>35303.52485232507</v>
          </cell>
          <cell r="O36">
            <v>34273.386791912373</v>
          </cell>
        </row>
        <row r="37">
          <cell r="D37">
            <v>43693.134752849845</v>
          </cell>
          <cell r="E37">
            <v>26197.960584204699</v>
          </cell>
          <cell r="F37">
            <v>28155.137263316341</v>
          </cell>
          <cell r="G37">
            <v>36977.347731536611</v>
          </cell>
          <cell r="H37">
            <v>61602.460319967562</v>
          </cell>
          <cell r="I37">
            <v>47994.533689326774</v>
          </cell>
          <cell r="J37">
            <v>38807.771366610839</v>
          </cell>
          <cell r="K37">
            <v>22423.580126002165</v>
          </cell>
          <cell r="L37">
            <v>31800.127362425039</v>
          </cell>
          <cell r="M37">
            <v>45362.649181079367</v>
          </cell>
          <cell r="N37">
            <v>33432.330631673634</v>
          </cell>
          <cell r="O37">
            <v>17590.499000000003</v>
          </cell>
        </row>
        <row r="38">
          <cell r="D38">
            <v>17220.528270771872</v>
          </cell>
          <cell r="E38">
            <v>24835.354193742962</v>
          </cell>
          <cell r="F38">
            <v>22041.958089885095</v>
          </cell>
          <cell r="G38">
            <v>28011.62790251373</v>
          </cell>
          <cell r="H38">
            <v>33854.595494317851</v>
          </cell>
          <cell r="I38">
            <v>38376.386902257764</v>
          </cell>
          <cell r="J38">
            <v>37237.985627467213</v>
          </cell>
          <cell r="K38">
            <v>27914.117877515582</v>
          </cell>
          <cell r="L38">
            <v>33536.126550031178</v>
          </cell>
          <cell r="M38">
            <v>23510.632472206024</v>
          </cell>
          <cell r="N38">
            <v>25103</v>
          </cell>
          <cell r="O38">
            <v>17953.376914968539</v>
          </cell>
        </row>
        <row r="39">
          <cell r="D39">
            <v>70193.243036965825</v>
          </cell>
          <cell r="E39">
            <v>68605.983160592092</v>
          </cell>
          <cell r="F39">
            <v>45648.066298143669</v>
          </cell>
          <cell r="G39">
            <v>14912.128869917491</v>
          </cell>
          <cell r="H39">
            <v>0</v>
          </cell>
          <cell r="I39">
            <v>0</v>
          </cell>
          <cell r="J39">
            <v>0.2422477154104854</v>
          </cell>
          <cell r="K39">
            <v>0</v>
          </cell>
          <cell r="L39">
            <v>0</v>
          </cell>
          <cell r="M39">
            <v>0</v>
          </cell>
          <cell r="N39">
            <v>18774.100705996192</v>
          </cell>
          <cell r="O39">
            <v>48817.311742493141</v>
          </cell>
        </row>
        <row r="40">
          <cell r="D40">
            <v>44112.814714775188</v>
          </cell>
          <cell r="E40">
            <v>42680.17097951311</v>
          </cell>
          <cell r="F40">
            <v>30419.847060619431</v>
          </cell>
          <cell r="G40">
            <v>4437.6955647029754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26575.434607038609</v>
          </cell>
          <cell r="O40">
            <v>54551.722719929756</v>
          </cell>
        </row>
        <row r="41">
          <cell r="D41">
            <v>43019.778901109523</v>
          </cell>
          <cell r="E41">
            <v>45748.332254175672</v>
          </cell>
          <cell r="F41">
            <v>10797.693294321347</v>
          </cell>
          <cell r="G41">
            <v>1893.076149094537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14262.839964488952</v>
          </cell>
          <cell r="O41">
            <v>35080.835786601107</v>
          </cell>
        </row>
        <row r="42">
          <cell r="D42">
            <v>55153.090915238208</v>
          </cell>
          <cell r="E42">
            <v>53153.98805988198</v>
          </cell>
          <cell r="F42">
            <v>38671.59500104902</v>
          </cell>
          <cell r="G42">
            <v>4230.7828027557507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13345.566426463309</v>
          </cell>
          <cell r="O42">
            <v>39029.459269235645</v>
          </cell>
        </row>
        <row r="43">
          <cell r="D43">
            <v>65617.485752031207</v>
          </cell>
          <cell r="E43">
            <v>27117.697586190854</v>
          </cell>
          <cell r="F43">
            <v>14129.833724041237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30953.123001724205</v>
          </cell>
          <cell r="O43">
            <v>33342.519851368583</v>
          </cell>
        </row>
        <row r="44">
          <cell r="D44">
            <v>29826.638901618975</v>
          </cell>
          <cell r="E44">
            <v>62981.735460049516</v>
          </cell>
          <cell r="F44">
            <v>9521.7829494494545</v>
          </cell>
          <cell r="G44">
            <v>8285.48098593127</v>
          </cell>
          <cell r="H44">
            <v>1471.1097520812054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1316.3492891218398</v>
          </cell>
          <cell r="N44">
            <v>15353</v>
          </cell>
          <cell r="O44">
            <v>30678.327523449421</v>
          </cell>
        </row>
      </sheetData>
      <sheetData sheetId="3">
        <row r="8">
          <cell r="C8" t="str">
            <v>JAN</v>
          </cell>
        </row>
      </sheetData>
      <sheetData sheetId="4" refreshError="1"/>
      <sheetData sheetId="5">
        <row r="5">
          <cell r="I5">
            <v>0.16957358777254558</v>
          </cell>
          <cell r="J5">
            <v>3.0343186571471588</v>
          </cell>
          <cell r="L5">
            <v>9.7137011117273797E-2</v>
          </cell>
          <cell r="M5">
            <v>1.7381518490250096</v>
          </cell>
          <cell r="O5">
            <v>0.15953009781128596</v>
          </cell>
          <cell r="P5">
            <v>2.8546022910984701</v>
          </cell>
          <cell r="R5">
            <v>0.42624069670110537</v>
          </cell>
          <cell r="S5">
            <v>7.627072797270638</v>
          </cell>
        </row>
        <row r="6">
          <cell r="I6">
            <v>0.1545131474620951</v>
          </cell>
          <cell r="J6">
            <v>2.5253135475456832</v>
          </cell>
          <cell r="L6">
            <v>0.10753633529414723</v>
          </cell>
          <cell r="M6">
            <v>1.7575395287209739</v>
          </cell>
          <cell r="O6">
            <v>0.17078081387782293</v>
          </cell>
          <cell r="P6">
            <v>2.7911870933335541</v>
          </cell>
          <cell r="R6">
            <v>0.4328302966340653</v>
          </cell>
          <cell r="S6">
            <v>7.0740401696002113</v>
          </cell>
        </row>
        <row r="7">
          <cell r="I7">
            <v>0.19107269115070424</v>
          </cell>
          <cell r="J7">
            <v>3.1023668949027079</v>
          </cell>
          <cell r="L7">
            <v>0.13900288391424956</v>
          </cell>
          <cell r="M7">
            <v>2.2569313424880941</v>
          </cell>
          <cell r="O7">
            <v>0.11438124092777682</v>
          </cell>
          <cell r="P7">
            <v>1.8571600845478415</v>
          </cell>
          <cell r="R7">
            <v>0.44445681599273063</v>
          </cell>
          <cell r="S7">
            <v>7.216458321938644</v>
          </cell>
        </row>
        <row r="8">
          <cell r="I8">
            <v>0.20815696343648432</v>
          </cell>
          <cell r="J8">
            <v>3.1479088215372806</v>
          </cell>
          <cell r="L8">
            <v>0.16149714813706309</v>
          </cell>
          <cell r="M8">
            <v>2.4422834042200905</v>
          </cell>
          <cell r="O8">
            <v>4.0117642436085905E-2</v>
          </cell>
          <cell r="P8">
            <v>0.60668967513242711</v>
          </cell>
          <cell r="R8">
            <v>0.40977175400963323</v>
          </cell>
          <cell r="S8">
            <v>6.1968819008897968</v>
          </cell>
        </row>
        <row r="9">
          <cell r="I9">
            <v>0.18520876555415719</v>
          </cell>
          <cell r="J9">
            <v>3.2598423062791273</v>
          </cell>
          <cell r="L9">
            <v>0.15300426922783111</v>
          </cell>
          <cell r="M9">
            <v>2.6930139530807433</v>
          </cell>
          <cell r="O9">
            <v>0</v>
          </cell>
          <cell r="P9">
            <v>0</v>
          </cell>
          <cell r="R9">
            <v>0.33821303478198828</v>
          </cell>
          <cell r="S9">
            <v>5.9528562593598711</v>
          </cell>
        </row>
        <row r="10">
          <cell r="I10">
            <v>0.19220887771672224</v>
          </cell>
          <cell r="J10">
            <v>3.1570098005546554</v>
          </cell>
          <cell r="L10">
            <v>0.17862440517092013</v>
          </cell>
          <cell r="M10">
            <v>2.9338863243036322</v>
          </cell>
          <cell r="O10">
            <v>0</v>
          </cell>
          <cell r="P10">
            <v>0</v>
          </cell>
          <cell r="R10">
            <v>0.37083328288764239</v>
          </cell>
          <cell r="S10">
            <v>6.090896124858288</v>
          </cell>
        </row>
        <row r="11">
          <cell r="I11">
            <v>0.18455190102283447</v>
          </cell>
          <cell r="J11">
            <v>3.0205821639143071</v>
          </cell>
          <cell r="L11">
            <v>0.20100174810277993</v>
          </cell>
          <cell r="M11">
            <v>3.2898187007010682</v>
          </cell>
          <cell r="O11">
            <v>6.0216362204023014E-7</v>
          </cell>
          <cell r="P11">
            <v>9.8556811737620947E-6</v>
          </cell>
          <cell r="R11">
            <v>0.38555425128923654</v>
          </cell>
          <cell r="S11">
            <v>6.3104107202965496</v>
          </cell>
        </row>
        <row r="12">
          <cell r="I12">
            <v>0.17008877468330344</v>
          </cell>
          <cell r="J12">
            <v>2.0442726904536217</v>
          </cell>
          <cell r="L12">
            <v>0.1425865434609358</v>
          </cell>
          <cell r="M12">
            <v>1.7137273013230945</v>
          </cell>
          <cell r="O12">
            <v>0</v>
          </cell>
          <cell r="P12">
            <v>0</v>
          </cell>
          <cell r="R12">
            <v>0.31267531814423921</v>
          </cell>
          <cell r="S12">
            <v>3.7579999917767157</v>
          </cell>
        </row>
        <row r="13">
          <cell r="I13">
            <v>0.18804022712137528</v>
          </cell>
          <cell r="J13">
            <v>2.8651739783623258</v>
          </cell>
          <cell r="L13">
            <v>0.18487939571272796</v>
          </cell>
          <cell r="M13">
            <v>2.8170123055081393</v>
          </cell>
          <cell r="O13">
            <v>0</v>
          </cell>
          <cell r="P13">
            <v>0</v>
          </cell>
          <cell r="R13">
            <v>0.37291962283410324</v>
          </cell>
          <cell r="S13">
            <v>5.6821862838704646</v>
          </cell>
        </row>
        <row r="14">
          <cell r="I14">
            <v>0.17091055866587462</v>
          </cell>
          <cell r="J14">
            <v>2.9487016960084937</v>
          </cell>
          <cell r="L14">
            <v>0.15517530039207841</v>
          </cell>
          <cell r="M14">
            <v>2.6772229581162228</v>
          </cell>
          <cell r="O14">
            <v>0</v>
          </cell>
          <cell r="P14">
            <v>0</v>
          </cell>
          <cell r="R14">
            <v>0.32608585905795301</v>
          </cell>
          <cell r="S14">
            <v>5.6259246541247165</v>
          </cell>
        </row>
        <row r="15">
          <cell r="I15">
            <v>0.14325154615270005</v>
          </cell>
          <cell r="J15">
            <v>2.4818194139343932</v>
          </cell>
          <cell r="L15">
            <v>0.12252008819602188</v>
          </cell>
          <cell r="M15">
            <v>2.1226488763877809</v>
          </cell>
          <cell r="O15">
            <v>4.4087476340144288E-2</v>
          </cell>
          <cell r="P15">
            <v>0.76381133489274367</v>
          </cell>
          <cell r="R15">
            <v>0.30985911068886618</v>
          </cell>
          <cell r="S15">
            <v>5.3682796252149174</v>
          </cell>
        </row>
        <row r="16">
          <cell r="I16">
            <v>0.15030691123949871</v>
          </cell>
          <cell r="J16">
            <v>2.5259137738005948</v>
          </cell>
          <cell r="L16">
            <v>0.1164864087267969</v>
          </cell>
          <cell r="M16">
            <v>1.9575588496709193</v>
          </cell>
          <cell r="O16">
            <v>0.11818469673858885</v>
          </cell>
          <cell r="P16">
            <v>1.9860986489754935</v>
          </cell>
          <cell r="R16">
            <v>0.38497801670488446</v>
          </cell>
          <cell r="S16">
            <v>6.4695712724470074</v>
          </cell>
        </row>
        <row r="17">
          <cell r="I17">
            <v>0.14226149790629342</v>
          </cell>
          <cell r="J17">
            <v>2.4237528869981744</v>
          </cell>
          <cell r="L17">
            <v>0.11264444136955065</v>
          </cell>
          <cell r="M17">
            <v>1.9191579871707996</v>
          </cell>
          <cell r="O17">
            <v>0.1053393813402278</v>
          </cell>
          <cell r="P17">
            <v>1.7946994330549926</v>
          </cell>
          <cell r="R17">
            <v>0.36024532061607184</v>
          </cell>
          <cell r="S17">
            <v>6.1376103072239667</v>
          </cell>
        </row>
        <row r="18">
          <cell r="I18">
            <v>0.14340645225519166</v>
          </cell>
          <cell r="J18">
            <v>2.4244964198122636</v>
          </cell>
          <cell r="L18">
            <v>0.12012463646085095</v>
          </cell>
          <cell r="M18">
            <v>2.0308831747146101</v>
          </cell>
          <cell r="O18">
            <v>0.10270704899985708</v>
          </cell>
          <cell r="P18">
            <v>1.7364133110727684</v>
          </cell>
          <cell r="R18">
            <v>0.36623813771589969</v>
          </cell>
          <cell r="S18">
            <v>6.1917929055996419</v>
          </cell>
        </row>
        <row r="19">
          <cell r="I19">
            <v>0.14180993762769312</v>
          </cell>
          <cell r="J19">
            <v>2.3014351768597576</v>
          </cell>
          <cell r="L19">
            <v>0.12995432478222996</v>
          </cell>
          <cell r="M19">
            <v>2.1090302939423631</v>
          </cell>
          <cell r="O19">
            <v>7.6259139637703172E-2</v>
          </cell>
          <cell r="P19">
            <v>1.2376104908814025</v>
          </cell>
          <cell r="R19">
            <v>0.34802340204762622</v>
          </cell>
          <cell r="S19">
            <v>5.6480759616835226</v>
          </cell>
        </row>
        <row r="20">
          <cell r="I20">
            <v>0.19883078800910289</v>
          </cell>
          <cell r="J20">
            <v>2.9821786948662852</v>
          </cell>
          <cell r="L20">
            <v>0.12928901268806275</v>
          </cell>
          <cell r="M20">
            <v>1.9391510891209949</v>
          </cell>
          <cell r="O20">
            <v>1.2037448213322597E-2</v>
          </cell>
          <cell r="P20">
            <v>0.1805445824651834</v>
          </cell>
          <cell r="R20">
            <v>0.34015724891048826</v>
          </cell>
          <cell r="S20">
            <v>5.1018743664524635</v>
          </cell>
        </row>
        <row r="21">
          <cell r="I21">
            <v>0.15962334193056307</v>
          </cell>
          <cell r="J21">
            <v>2.8108631772193773</v>
          </cell>
          <cell r="L21">
            <v>0.10728396292846439</v>
          </cell>
          <cell r="M21">
            <v>1.8892007726098703</v>
          </cell>
          <cell r="O21">
            <v>0</v>
          </cell>
          <cell r="P21">
            <v>0</v>
          </cell>
          <cell r="R21">
            <v>0.26690730485902747</v>
          </cell>
          <cell r="S21">
            <v>4.7000639498292474</v>
          </cell>
        </row>
        <row r="22">
          <cell r="I22">
            <v>0.12960931955509367</v>
          </cell>
          <cell r="J22">
            <v>2.1285763413038037</v>
          </cell>
          <cell r="L22">
            <v>0.16131651652193232</v>
          </cell>
          <cell r="M22">
            <v>2.6493042453183269</v>
          </cell>
          <cell r="O22">
            <v>0</v>
          </cell>
          <cell r="P22">
            <v>0</v>
          </cell>
          <cell r="R22">
            <v>0.29092583607702599</v>
          </cell>
          <cell r="S22">
            <v>4.777880586622131</v>
          </cell>
        </row>
        <row r="23">
          <cell r="I23">
            <v>0.13920036560365312</v>
          </cell>
          <cell r="J23">
            <v>2.3219778555248971</v>
          </cell>
          <cell r="L23">
            <v>0.15635229202405912</v>
          </cell>
          <cell r="M23">
            <v>2.6080862515414225</v>
          </cell>
          <cell r="O23">
            <v>0</v>
          </cell>
          <cell r="P23">
            <v>0</v>
          </cell>
          <cell r="R23">
            <v>0.29555265762771227</v>
          </cell>
          <cell r="S23">
            <v>4.9300641070663191</v>
          </cell>
        </row>
        <row r="24">
          <cell r="I24">
            <v>0.15597107397509674</v>
          </cell>
          <cell r="J24">
            <v>1.9260915802552143</v>
          </cell>
          <cell r="L24">
            <v>0.15469609689039576</v>
          </cell>
          <cell r="M24">
            <v>1.9103468490991475</v>
          </cell>
          <cell r="O24">
            <v>0</v>
          </cell>
          <cell r="P24">
            <v>0</v>
          </cell>
          <cell r="R24">
            <v>0.3106671708654925</v>
          </cell>
          <cell r="S24">
            <v>3.8364384293543616</v>
          </cell>
        </row>
        <row r="25">
          <cell r="I25">
            <v>0.20344300619157529</v>
          </cell>
          <cell r="J25">
            <v>3.1761881842369459</v>
          </cell>
          <cell r="L25">
            <v>0.13665640244236898</v>
          </cell>
          <cell r="M25">
            <v>2.1335039176970017</v>
          </cell>
          <cell r="O25">
            <v>0</v>
          </cell>
          <cell r="P25">
            <v>0</v>
          </cell>
          <cell r="R25">
            <v>0.34009940863394428</v>
          </cell>
          <cell r="S25">
            <v>5.3096921019339476</v>
          </cell>
        </row>
        <row r="26">
          <cell r="I26">
            <v>0.13905736200243896</v>
          </cell>
          <cell r="J26">
            <v>2.382016771138058</v>
          </cell>
          <cell r="L26">
            <v>0.10949778560965301</v>
          </cell>
          <cell r="M26">
            <v>1.8756688460701438</v>
          </cell>
          <cell r="O26">
            <v>0</v>
          </cell>
          <cell r="P26">
            <v>0</v>
          </cell>
          <cell r="R26">
            <v>0.24855514761209196</v>
          </cell>
          <cell r="S26">
            <v>4.2576856172082014</v>
          </cell>
        </row>
        <row r="27">
          <cell r="I27">
            <v>0.12855336271989348</v>
          </cell>
          <cell r="J27">
            <v>2.1896147856083208</v>
          </cell>
          <cell r="L27">
            <v>8.3911395203653524E-2</v>
          </cell>
          <cell r="M27">
            <v>1.4292401826880439</v>
          </cell>
          <cell r="O27">
            <v>6.347797381869269E-2</v>
          </cell>
          <cell r="P27">
            <v>1.0812032224837205</v>
          </cell>
          <cell r="R27">
            <v>0.27594273174223971</v>
          </cell>
          <cell r="S27">
            <v>4.7000581907800854</v>
          </cell>
        </row>
        <row r="28">
          <cell r="I28">
            <v>0.15057891211491989</v>
          </cell>
          <cell r="J28">
            <v>2.5804469768093727</v>
          </cell>
          <cell r="L28">
            <v>9.0133949663028581E-2</v>
          </cell>
          <cell r="M28">
            <v>1.544611225098663</v>
          </cell>
          <cell r="O28">
            <v>0.12951039901221409</v>
          </cell>
          <cell r="P28">
            <v>2.2193992033983503</v>
          </cell>
          <cell r="R28">
            <v>0.3702232607901626</v>
          </cell>
          <cell r="S28">
            <v>6.3444574053063869</v>
          </cell>
        </row>
        <row r="29">
          <cell r="I29">
            <v>0.12933706564608272</v>
          </cell>
          <cell r="J29">
            <v>2.1764613773266306</v>
          </cell>
          <cell r="L29">
            <v>6.8983324498263804E-2</v>
          </cell>
          <cell r="M29">
            <v>1.1608392435692192</v>
          </cell>
          <cell r="O29">
            <v>0.10400810140989369</v>
          </cell>
          <cell r="P29">
            <v>1.7502300250659908</v>
          </cell>
          <cell r="R29">
            <v>0.30232849155424024</v>
          </cell>
          <cell r="S29">
            <v>5.0875306459618406</v>
          </cell>
        </row>
        <row r="30">
          <cell r="I30">
            <v>0.13378659948789517</v>
          </cell>
          <cell r="J30">
            <v>2.2550685368226531</v>
          </cell>
          <cell r="L30">
            <v>7.9061949447875451E-2</v>
          </cell>
          <cell r="M30">
            <v>1.3326455365651066</v>
          </cell>
          <cell r="O30">
            <v>0.11042186856102551</v>
          </cell>
          <cell r="P30">
            <v>1.8612393357951005</v>
          </cell>
          <cell r="R30">
            <v>0.32327041749679614</v>
          </cell>
          <cell r="S30">
            <v>5.4489534091828604</v>
          </cell>
        </row>
        <row r="31">
          <cell r="I31">
            <v>0.16364144410980888</v>
          </cell>
          <cell r="J31">
            <v>2.6476366101574582</v>
          </cell>
          <cell r="L31">
            <v>9.4804331563656863E-2</v>
          </cell>
          <cell r="M31">
            <v>1.5338866044289476</v>
          </cell>
          <cell r="O31">
            <v>2.7151440073830847E-2</v>
          </cell>
          <cell r="P31">
            <v>0.43929670230563467</v>
          </cell>
          <cell r="R31">
            <v>0.28559721574729663</v>
          </cell>
          <cell r="S31">
            <v>4.6208199168920405</v>
          </cell>
        </row>
        <row r="32">
          <cell r="I32">
            <v>0.1680728289671026</v>
          </cell>
          <cell r="J32">
            <v>2.4781434144393137</v>
          </cell>
          <cell r="L32">
            <v>0.10117400773145636</v>
          </cell>
          <cell r="M32">
            <v>1.4917562970348746</v>
          </cell>
          <cell r="O32">
            <v>5.2235542997243105E-3</v>
          </cell>
          <cell r="P32">
            <v>7.7018497084746923E-2</v>
          </cell>
          <cell r="R32">
            <v>0.27447039099828324</v>
          </cell>
          <cell r="S32">
            <v>4.0469182085589344</v>
          </cell>
        </row>
        <row r="33">
          <cell r="I33">
            <v>0.14143441603058063</v>
          </cell>
          <cell r="J33">
            <v>2.5274896066462049</v>
          </cell>
          <cell r="L33">
            <v>0.11758365659646938</v>
          </cell>
          <cell r="M33">
            <v>2.1012669921497382</v>
          </cell>
          <cell r="O33">
            <v>0</v>
          </cell>
          <cell r="P33">
            <v>0</v>
          </cell>
          <cell r="R33">
            <v>0.25901807262705001</v>
          </cell>
          <cell r="S33">
            <v>4.6287565987959436</v>
          </cell>
        </row>
        <row r="34">
          <cell r="I34">
            <v>0.15083221031380634</v>
          </cell>
          <cell r="J34">
            <v>2.4554891052761008</v>
          </cell>
          <cell r="L34">
            <v>0.15207144371735393</v>
          </cell>
          <cell r="M34">
            <v>2.4756633380541957</v>
          </cell>
          <cell r="O34">
            <v>0</v>
          </cell>
          <cell r="P34">
            <v>0</v>
          </cell>
          <cell r="R34">
            <v>0.30290365403116026</v>
          </cell>
          <cell r="S34">
            <v>4.931152443330296</v>
          </cell>
        </row>
        <row r="35">
          <cell r="I35">
            <v>0.1520125587355487</v>
          </cell>
          <cell r="J35">
            <v>2.4445112389271473</v>
          </cell>
          <cell r="L35">
            <v>0.12650290566098119</v>
          </cell>
          <cell r="M35">
            <v>2.0342909639668654</v>
          </cell>
          <cell r="O35">
            <v>0</v>
          </cell>
          <cell r="P35">
            <v>0</v>
          </cell>
          <cell r="R35">
            <v>0.27851546439652985</v>
          </cell>
          <cell r="S35">
            <v>4.4788022028940127</v>
          </cell>
        </row>
        <row r="36">
          <cell r="I36">
            <v>0.15575698745982577</v>
          </cell>
          <cell r="J36">
            <v>1.9455032799486247</v>
          </cell>
          <cell r="L36">
            <v>0.10676616059478033</v>
          </cell>
          <cell r="M36">
            <v>1.333576868763221</v>
          </cell>
          <cell r="O36">
            <v>0</v>
          </cell>
          <cell r="P36">
            <v>0</v>
          </cell>
          <cell r="R36">
            <v>0.26252314805460614</v>
          </cell>
          <cell r="S36">
            <v>3.2790801487118464</v>
          </cell>
        </row>
        <row r="37">
          <cell r="I37">
            <v>0.18174686769198614</v>
          </cell>
          <cell r="J37">
            <v>2.8199472652058262</v>
          </cell>
          <cell r="L37">
            <v>0.18290855866405104</v>
          </cell>
          <cell r="M37">
            <v>2.8379718249756292</v>
          </cell>
          <cell r="O37">
            <v>0</v>
          </cell>
          <cell r="P37">
            <v>0</v>
          </cell>
          <cell r="R37">
            <v>0.36465542635603715</v>
          </cell>
          <cell r="S37">
            <v>5.6579190901814549</v>
          </cell>
        </row>
        <row r="38">
          <cell r="I38">
            <v>0.14787674518128965</v>
          </cell>
          <cell r="J38">
            <v>2.5446928958109361</v>
          </cell>
          <cell r="L38">
            <v>0.14992776134881311</v>
          </cell>
          <cell r="M38">
            <v>2.5799871962385783</v>
          </cell>
          <cell r="O38">
            <v>0</v>
          </cell>
          <cell r="P38">
            <v>0</v>
          </cell>
          <cell r="R38">
            <v>0.29780450653010276</v>
          </cell>
          <cell r="S38">
            <v>5.1246800920495144</v>
          </cell>
        </row>
        <row r="39">
          <cell r="I39">
            <v>0.15793434965095252</v>
          </cell>
          <cell r="J39">
            <v>2.7528330784081776</v>
          </cell>
          <cell r="L39">
            <v>0.11599988300422667</v>
          </cell>
          <cell r="M39">
            <v>2.021905403930524</v>
          </cell>
          <cell r="O39">
            <v>3.3291217897326503E-2</v>
          </cell>
          <cell r="P39">
            <v>0.58027380396220229</v>
          </cell>
          <cell r="R39">
            <v>0.30722545055250572</v>
          </cell>
          <cell r="S39">
            <v>5.3550122863009042</v>
          </cell>
        </row>
        <row r="40">
          <cell r="I40">
            <v>0.15241597263009546</v>
          </cell>
          <cell r="J40">
            <v>2.5099477542468769</v>
          </cell>
          <cell r="L40">
            <v>9.1153391807256859E-2</v>
          </cell>
          <cell r="M40">
            <v>1.5010910412511056</v>
          </cell>
          <cell r="O40">
            <v>8.6668780925913555E-2</v>
          </cell>
          <cell r="P40">
            <v>1.4272396015623225</v>
          </cell>
          <cell r="R40">
            <v>0.33023814536326584</v>
          </cell>
          <cell r="S40">
            <v>5.4382783970603041</v>
          </cell>
        </row>
        <row r="41">
          <cell r="I41">
            <v>0.1414393621756225</v>
          </cell>
          <cell r="J41">
            <v>2.4593887962216998</v>
          </cell>
          <cell r="L41">
            <v>9.8367996717613176E-2</v>
          </cell>
          <cell r="M41">
            <v>1.7104513574776803</v>
          </cell>
          <cell r="O41">
            <v>0.12904462240533232</v>
          </cell>
          <cell r="P41">
            <v>2.2438654535380382</v>
          </cell>
          <cell r="R41">
            <v>0.36885198129856805</v>
          </cell>
          <cell r="S41">
            <v>6.4137056072374188</v>
          </cell>
        </row>
        <row r="42">
          <cell r="I42">
            <v>0.15865352914392408</v>
          </cell>
          <cell r="J42">
            <v>2.6566583317780026</v>
          </cell>
          <cell r="L42">
            <v>9.0339041387532307E-2</v>
          </cell>
          <cell r="M42">
            <v>1.5127300872664942</v>
          </cell>
          <cell r="O42">
            <v>0.12914477600561242</v>
          </cell>
          <cell r="P42">
            <v>2.1625333330573029</v>
          </cell>
          <cell r="R42">
            <v>0.37813734653706882</v>
          </cell>
          <cell r="S42">
            <v>6.3319217521017999</v>
          </cell>
        </row>
        <row r="43">
          <cell r="I43">
            <v>0.16492078719835512</v>
          </cell>
          <cell r="J43">
            <v>2.7536930421910348</v>
          </cell>
          <cell r="L43">
            <v>0.10109821569225236</v>
          </cell>
          <cell r="M43">
            <v>1.6880434410906111</v>
          </cell>
          <cell r="O43">
            <v>9.422776985456828E-2</v>
          </cell>
          <cell r="P43">
            <v>1.573327162922314</v>
          </cell>
          <cell r="R43">
            <v>0.36024677274517575</v>
          </cell>
          <cell r="S43">
            <v>6.0150636462039602</v>
          </cell>
        </row>
        <row r="44">
          <cell r="I44">
            <v>0.17060376031141999</v>
          </cell>
          <cell r="J44">
            <v>2.5333993815426288</v>
          </cell>
          <cell r="L44">
            <v>0.11395405531939101</v>
          </cell>
          <cell r="M44">
            <v>1.692173330432126</v>
          </cell>
          <cell r="O44">
            <v>1.159131278906002E-2</v>
          </cell>
          <cell r="P44">
            <v>0.17212647949534168</v>
          </cell>
          <cell r="R44">
            <v>0.29614912841987101</v>
          </cell>
          <cell r="S44">
            <v>4.3976991914700969</v>
          </cell>
        </row>
        <row r="45">
          <cell r="I45">
            <v>0.16016724917238068</v>
          </cell>
          <cell r="J45">
            <v>2.765684611047289</v>
          </cell>
          <cell r="L45">
            <v>0.11448145354071836</v>
          </cell>
          <cell r="M45">
            <v>1.976806094528893</v>
          </cell>
          <cell r="O45">
            <v>0</v>
          </cell>
          <cell r="P45">
            <v>0</v>
          </cell>
          <cell r="R45">
            <v>0.27464870271309899</v>
          </cell>
          <cell r="S45">
            <v>4.7424907055761816</v>
          </cell>
        </row>
        <row r="46">
          <cell r="I46">
            <v>0.15939963479515765</v>
          </cell>
          <cell r="J46">
            <v>2.5549635329375255</v>
          </cell>
          <cell r="L46">
            <v>0.12527486142208413</v>
          </cell>
          <cell r="M46">
            <v>2.007988932587883</v>
          </cell>
          <cell r="O46">
            <v>0</v>
          </cell>
          <cell r="P46">
            <v>0</v>
          </cell>
          <cell r="R46">
            <v>0.28467449621724178</v>
          </cell>
          <cell r="S46">
            <v>4.5629524655254086</v>
          </cell>
        </row>
        <row r="47">
          <cell r="I47">
            <v>0.15197751082499858</v>
          </cell>
          <cell r="J47">
            <v>2.3584477248429758</v>
          </cell>
          <cell r="L47">
            <v>0.13362702080315805</v>
          </cell>
          <cell r="M47">
            <v>2.0736774900442319</v>
          </cell>
          <cell r="O47">
            <v>0</v>
          </cell>
          <cell r="P47">
            <v>0</v>
          </cell>
          <cell r="R47">
            <v>0.28560453162815663</v>
          </cell>
          <cell r="S47">
            <v>4.4321252148872077</v>
          </cell>
        </row>
        <row r="48">
          <cell r="I48">
            <v>0.17593393998538079</v>
          </cell>
          <cell r="J48">
            <v>2.1136373362791367</v>
          </cell>
          <cell r="L48">
            <v>0.13270060892255292</v>
          </cell>
          <cell r="M48">
            <v>1.5942402107801981</v>
          </cell>
          <cell r="O48">
            <v>0</v>
          </cell>
          <cell r="P48">
            <v>0</v>
          </cell>
          <cell r="R48">
            <v>0.30863454890793368</v>
          </cell>
          <cell r="S48">
            <v>3.7078775470593346</v>
          </cell>
        </row>
        <row r="49">
          <cell r="I49">
            <v>0.13844858202763061</v>
          </cell>
          <cell r="J49">
            <v>2.0656126264810379</v>
          </cell>
          <cell r="L49">
            <v>0.14019666852612894</v>
          </cell>
          <cell r="M49">
            <v>2.0916935692440237</v>
          </cell>
          <cell r="O49">
            <v>0</v>
          </cell>
          <cell r="P49">
            <v>0</v>
          </cell>
          <cell r="R49">
            <v>0.27864525055375955</v>
          </cell>
          <cell r="S49">
            <v>4.1573061957250612</v>
          </cell>
        </row>
        <row r="50">
          <cell r="I50">
            <v>0.1505724194333688</v>
          </cell>
          <cell r="J50">
            <v>2.6004287795670331</v>
          </cell>
          <cell r="L50">
            <v>0.12309108998868765</v>
          </cell>
          <cell r="M50">
            <v>2.1258183545128242</v>
          </cell>
          <cell r="O50">
            <v>0</v>
          </cell>
          <cell r="P50">
            <v>0</v>
          </cell>
          <cell r="R50">
            <v>0.27366350942205642</v>
          </cell>
          <cell r="S50">
            <v>4.7262471340798573</v>
          </cell>
        </row>
        <row r="51">
          <cell r="I51">
            <v>0.11832179993454592</v>
          </cell>
          <cell r="J51">
            <v>1.9229970188308507</v>
          </cell>
          <cell r="L51">
            <v>8.8375357133031865E-2</v>
          </cell>
          <cell r="M51">
            <v>1.4362995525671829</v>
          </cell>
          <cell r="O51">
            <v>3.3407972830328266E-2</v>
          </cell>
          <cell r="P51">
            <v>0.54295516289848489</v>
          </cell>
          <cell r="R51">
            <v>0.24010512989790603</v>
          </cell>
          <cell r="S51">
            <v>3.9022517342965179</v>
          </cell>
        </row>
        <row r="52">
          <cell r="I52">
            <v>0.14001361426267439</v>
          </cell>
          <cell r="J52">
            <v>2.2314739197468332</v>
          </cell>
          <cell r="L52">
            <v>8.7490808353340055E-2</v>
          </cell>
          <cell r="M52">
            <v>1.3943890962758547</v>
          </cell>
          <cell r="O52">
            <v>9.9631791914564227E-2</v>
          </cell>
          <cell r="P52">
            <v>1.5878866237814295</v>
          </cell>
          <cell r="R52">
            <v>0.32713621453057867</v>
          </cell>
          <cell r="S52">
            <v>5.2137496398041172</v>
          </cell>
        </row>
        <row r="53">
          <cell r="I53">
            <v>0.150726196960596</v>
          </cell>
          <cell r="J53">
            <v>2.6531140444960726</v>
          </cell>
          <cell r="L53">
            <v>0.10098874677507484</v>
          </cell>
          <cell r="M53">
            <v>1.7776250433430234</v>
          </cell>
          <cell r="O53">
            <v>0.15166290288193948</v>
          </cell>
          <cell r="P53">
            <v>2.6696021380431336</v>
          </cell>
          <cell r="R53">
            <v>0.40337784661761034</v>
          </cell>
          <cell r="S53">
            <v>7.1003412258822296</v>
          </cell>
        </row>
        <row r="54">
          <cell r="I54">
            <v>0.1744281510953212</v>
          </cell>
          <cell r="J54">
            <v>2.7726869539588144</v>
          </cell>
          <cell r="L54">
            <v>6.7051759501435701E-2</v>
          </cell>
          <cell r="M54">
            <v>1.0658459522856323</v>
          </cell>
          <cell r="O54">
            <v>6.9405758930648126E-2</v>
          </cell>
          <cell r="P54">
            <v>1.1032648176810291</v>
          </cell>
          <cell r="R54">
            <v>0.31088566952740504</v>
          </cell>
          <cell r="S54">
            <v>4.9417977239254762</v>
          </cell>
        </row>
        <row r="55">
          <cell r="I55">
            <v>0.15967834011063381</v>
          </cell>
          <cell r="J55">
            <v>2.4960350080606806</v>
          </cell>
          <cell r="L55">
            <v>7.3279068818525792E-2</v>
          </cell>
          <cell r="M55">
            <v>1.1454723352109011</v>
          </cell>
          <cell r="O55">
            <v>3.6775564195433937E-2</v>
          </cell>
          <cell r="P55">
            <v>0.57486253683114941</v>
          </cell>
          <cell r="R55">
            <v>0.26973297312459354</v>
          </cell>
          <cell r="S55">
            <v>4.2163698801027305</v>
          </cell>
        </row>
        <row r="56">
          <cell r="I56">
            <v>0.16189488290654805</v>
          </cell>
          <cell r="J56">
            <v>2.3280799659221163</v>
          </cell>
          <cell r="L56">
            <v>0.10461595926966319</v>
          </cell>
          <cell r="M56">
            <v>1.5043978816304893</v>
          </cell>
          <cell r="O56">
            <v>0</v>
          </cell>
          <cell r="P56">
            <v>0</v>
          </cell>
          <cell r="R56">
            <v>0.26651084217621124</v>
          </cell>
          <cell r="S56">
            <v>3.8324778475526058</v>
          </cell>
        </row>
        <row r="57">
          <cell r="I57">
            <v>0.16320495380337874</v>
          </cell>
          <cell r="J57">
            <v>2.7871033084023611</v>
          </cell>
          <cell r="L57">
            <v>0.1467591823742771</v>
          </cell>
          <cell r="M57">
            <v>2.5062535983224867</v>
          </cell>
          <cell r="O57">
            <v>0</v>
          </cell>
          <cell r="P57">
            <v>0</v>
          </cell>
          <cell r="R57">
            <v>0.30996413617765584</v>
          </cell>
          <cell r="S57">
            <v>5.2933569067248474</v>
          </cell>
        </row>
        <row r="58">
          <cell r="I58">
            <v>0.14917683622010944</v>
          </cell>
          <cell r="J58">
            <v>2.3453715772663779</v>
          </cell>
          <cell r="L58">
            <v>0.12419624540279688</v>
          </cell>
          <cell r="M58">
            <v>1.9526244915204449</v>
          </cell>
          <cell r="O58">
            <v>0</v>
          </cell>
          <cell r="P58">
            <v>0</v>
          </cell>
          <cell r="R58">
            <v>0.27337308162290636</v>
          </cell>
          <cell r="S58">
            <v>4.2979960687868228</v>
          </cell>
        </row>
        <row r="59">
          <cell r="I59">
            <v>0.13526630730442082</v>
          </cell>
          <cell r="J59">
            <v>2.1053957627348989</v>
          </cell>
          <cell r="L59">
            <v>0.10143820335230781</v>
          </cell>
          <cell r="M59">
            <v>1.5788674044065518</v>
          </cell>
          <cell r="O59">
            <v>0</v>
          </cell>
          <cell r="P59">
            <v>0</v>
          </cell>
          <cell r="R59">
            <v>0.23670451065672862</v>
          </cell>
          <cell r="S59">
            <v>3.6842631671414505</v>
          </cell>
        </row>
        <row r="60">
          <cell r="I60">
            <v>0.1468824053672744</v>
          </cell>
          <cell r="J60">
            <v>1.7615879163449228</v>
          </cell>
          <cell r="L60">
            <v>7.6067188036094482E-2</v>
          </cell>
          <cell r="M60">
            <v>0.91228788730454913</v>
          </cell>
          <cell r="O60">
            <v>0</v>
          </cell>
          <cell r="P60">
            <v>0</v>
          </cell>
          <cell r="R60">
            <v>0.22294959340336887</v>
          </cell>
          <cell r="S60">
            <v>2.6738758036494721</v>
          </cell>
        </row>
        <row r="61">
          <cell r="I61">
            <v>0.12530289254240271</v>
          </cell>
          <cell r="J61">
            <v>1.8537762459909373</v>
          </cell>
          <cell r="L61">
            <v>8.7449956721863606E-2</v>
          </cell>
          <cell r="M61">
            <v>1.293766242699202</v>
          </cell>
          <cell r="O61">
            <v>0</v>
          </cell>
          <cell r="P61">
            <v>0</v>
          </cell>
          <cell r="R61">
            <v>0.21275284926426632</v>
          </cell>
          <cell r="S61">
            <v>3.1475424886901391</v>
          </cell>
        </row>
        <row r="62">
          <cell r="I62">
            <v>0.13725309720667969</v>
          </cell>
          <cell r="J62">
            <v>2.2852882194969499</v>
          </cell>
          <cell r="L62">
            <v>0.1108425574915257</v>
          </cell>
          <cell r="M62">
            <v>1.8455480860505449</v>
          </cell>
          <cell r="O62">
            <v>0</v>
          </cell>
          <cell r="P62">
            <v>0</v>
          </cell>
          <cell r="R62">
            <v>0.24809565469820538</v>
          </cell>
          <cell r="S62">
            <v>4.1308363055474953</v>
          </cell>
        </row>
        <row r="63">
          <cell r="I63">
            <v>0.13559014783643866</v>
          </cell>
          <cell r="J63">
            <v>2.4069037172755006</v>
          </cell>
          <cell r="L63">
            <v>7.6623683459843286E-2</v>
          </cell>
          <cell r="M63">
            <v>1.3601713066447094</v>
          </cell>
          <cell r="O63">
            <v>7.0941578231782987E-2</v>
          </cell>
          <cell r="P63">
            <v>1.2593064546359447</v>
          </cell>
          <cell r="R63">
            <v>0.28315540952806495</v>
          </cell>
          <cell r="S63">
            <v>5.0263814785561554</v>
          </cell>
        </row>
        <row r="64">
          <cell r="I64">
            <v>0.1344383825401399</v>
          </cell>
          <cell r="J64">
            <v>2.156119929552152</v>
          </cell>
          <cell r="L64">
            <v>4.4622662545296815E-2</v>
          </cell>
          <cell r="M64">
            <v>0.71565731605606309</v>
          </cell>
          <cell r="O64">
            <v>8.4581569387967903E-2</v>
          </cell>
          <cell r="P64">
            <v>1.3565174170088319</v>
          </cell>
          <cell r="R64">
            <v>0.26364261447340459</v>
          </cell>
          <cell r="S64">
            <v>4.2282946626170466</v>
          </cell>
        </row>
        <row r="65">
          <cell r="I65">
            <v>0.14472174367111443</v>
          </cell>
          <cell r="J65">
            <v>2.3811833118900001</v>
          </cell>
          <cell r="L65">
            <v>4.2580855450273472E-2</v>
          </cell>
          <cell r="M65">
            <v>0.70060531218177236</v>
          </cell>
          <cell r="O65">
            <v>7.3751732796314168E-2</v>
          </cell>
          <cell r="P65">
            <v>1.2134762261892624</v>
          </cell>
          <cell r="R65">
            <v>0.26105433191770205</v>
          </cell>
          <cell r="S65">
            <v>4.2952648502610344</v>
          </cell>
        </row>
        <row r="66">
          <cell r="I66">
            <v>0.15140705721599251</v>
          </cell>
          <cell r="J66">
            <v>2.5996713997835497</v>
          </cell>
          <cell r="L66">
            <v>5.8847087883721998E-2</v>
          </cell>
          <cell r="M66">
            <v>1.0104092513575524</v>
          </cell>
          <cell r="O66">
            <v>0.1492345022653484</v>
          </cell>
          <cell r="P66">
            <v>2.5623684558290249</v>
          </cell>
          <cell r="R66">
            <v>0.35948864736506292</v>
          </cell>
          <cell r="S66">
            <v>6.1724491069701264</v>
          </cell>
        </row>
        <row r="67">
          <cell r="I67">
            <v>0.14238643863695052</v>
          </cell>
          <cell r="J67">
            <v>2.2595038314142259</v>
          </cell>
          <cell r="L67">
            <v>5.6510958511168753E-2</v>
          </cell>
          <cell r="M67">
            <v>0.8967618580477672</v>
          </cell>
          <cell r="O67">
            <v>2.4411854836781301E-2</v>
          </cell>
          <cell r="P67">
            <v>0.38738717018041274</v>
          </cell>
          <cell r="R67">
            <v>0.22330925198490056</v>
          </cell>
          <cell r="S67">
            <v>3.5436528596424055</v>
          </cell>
        </row>
        <row r="68">
          <cell r="I68">
            <v>0.18179296989521007</v>
          </cell>
          <cell r="J68">
            <v>2.7468566805198198</v>
          </cell>
          <cell r="L68">
            <v>7.5423449116400698E-2</v>
          </cell>
          <cell r="M68">
            <v>1.1396337558743559</v>
          </cell>
          <cell r="O68">
            <v>2.2309290831726815E-2</v>
          </cell>
          <cell r="P68">
            <v>0.33708907772457819</v>
          </cell>
          <cell r="R68">
            <v>0.27952570984333758</v>
          </cell>
          <cell r="S68">
            <v>4.2235795141187538</v>
          </cell>
        </row>
        <row r="69">
          <cell r="I69">
            <v>0.14982933663252812</v>
          </cell>
          <cell r="J69">
            <v>2.5670621507100777</v>
          </cell>
          <cell r="L69">
            <v>8.0390560779998052E-2</v>
          </cell>
          <cell r="M69">
            <v>1.3773508612590919</v>
          </cell>
          <cell r="O69">
            <v>3.4932728101442333E-3</v>
          </cell>
          <cell r="P69">
            <v>5.9851085338644215E-2</v>
          </cell>
          <cell r="R69">
            <v>0.23371317022267041</v>
          </cell>
          <cell r="S69">
            <v>4.0042640973078134</v>
          </cell>
        </row>
        <row r="70">
          <cell r="I70">
            <v>0.1443174541823467</v>
          </cell>
          <cell r="J70">
            <v>2.2905289886472935</v>
          </cell>
          <cell r="L70">
            <v>9.8372590124640322E-2</v>
          </cell>
          <cell r="M70">
            <v>1.5613168250882956</v>
          </cell>
          <cell r="O70">
            <v>0</v>
          </cell>
          <cell r="P70">
            <v>0</v>
          </cell>
          <cell r="R70">
            <v>0.24269004430698704</v>
          </cell>
          <cell r="S70">
            <v>3.8518458137355895</v>
          </cell>
        </row>
        <row r="71">
          <cell r="I71">
            <v>0.12388863743819085</v>
          </cell>
          <cell r="J71">
            <v>1.9224475199060767</v>
          </cell>
          <cell r="L71">
            <v>9.7631535400470121E-2</v>
          </cell>
          <cell r="M71">
            <v>1.5150017546112498</v>
          </cell>
          <cell r="O71">
            <v>0</v>
          </cell>
          <cell r="P71">
            <v>0</v>
          </cell>
          <cell r="R71">
            <v>0.22152017283866096</v>
          </cell>
          <cell r="S71">
            <v>3.4374492745173262</v>
          </cell>
        </row>
        <row r="72">
          <cell r="I72">
            <v>0.11721292777186018</v>
          </cell>
          <cell r="J72">
            <v>1.2633240304289974</v>
          </cell>
          <cell r="L72">
            <v>0.10536869972280374</v>
          </cell>
          <cell r="M72">
            <v>1.1356666277798808</v>
          </cell>
          <cell r="O72">
            <v>0</v>
          </cell>
          <cell r="P72">
            <v>0</v>
          </cell>
          <cell r="R72">
            <v>0.2225816274946639</v>
          </cell>
          <cell r="S72">
            <v>2.398990658208878</v>
          </cell>
        </row>
        <row r="73">
          <cell r="I73">
            <v>0.15471457161146107</v>
          </cell>
          <cell r="J73">
            <v>2.3254645937001834</v>
          </cell>
          <cell r="L73">
            <v>9.0773972821589E-2</v>
          </cell>
          <cell r="M73">
            <v>1.3643941719738473</v>
          </cell>
          <cell r="O73">
            <v>0</v>
          </cell>
          <cell r="P73">
            <v>0</v>
          </cell>
          <cell r="R73">
            <v>0.24548854443305007</v>
          </cell>
          <cell r="S73">
            <v>3.6898587656740305</v>
          </cell>
        </row>
        <row r="74">
          <cell r="I74">
            <v>0.11535845334332602</v>
          </cell>
          <cell r="J74">
            <v>1.9092963321819068</v>
          </cell>
          <cell r="L74">
            <v>5.7791950818445792E-2</v>
          </cell>
          <cell r="M74">
            <v>0.95651386204788635</v>
          </cell>
          <cell r="O74">
            <v>3.2357442304778335E-3</v>
          </cell>
          <cell r="P74">
            <v>5.3554762673034023E-2</v>
          </cell>
          <cell r="R74">
            <v>0.17638614839224964</v>
          </cell>
          <cell r="S74">
            <v>2.919364956902827</v>
          </cell>
        </row>
        <row r="75">
          <cell r="I75">
            <v>9.2077136521754976E-2</v>
          </cell>
          <cell r="J75">
            <v>1.5374010417488055</v>
          </cell>
          <cell r="L75">
            <v>6.1167004953691637E-2</v>
          </cell>
          <cell r="M75">
            <v>1.0212982363351573</v>
          </cell>
          <cell r="O75">
            <v>3.7409752900212229E-2</v>
          </cell>
          <cell r="P75">
            <v>0.62462621290099474</v>
          </cell>
          <cell r="R75">
            <v>0.19065389437565883</v>
          </cell>
          <cell r="S75">
            <v>3.1833254909849575</v>
          </cell>
        </row>
        <row r="76">
          <cell r="I76">
            <v>0.10546924643821773</v>
          </cell>
          <cell r="J76">
            <v>1.6888295536180042</v>
          </cell>
          <cell r="L76">
            <v>4.5615572221577673E-2</v>
          </cell>
          <cell r="M76">
            <v>0.73042075367556458</v>
          </cell>
          <cell r="O76">
            <v>7.7946866008052798E-2</v>
          </cell>
          <cell r="P76">
            <v>1.2481265901848866</v>
          </cell>
          <cell r="R76">
            <v>0.22903168466784821</v>
          </cell>
          <cell r="S76">
            <v>3.6673768974784555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8">
          <cell r="C8" t="str">
            <v>JAN</v>
          </cell>
        </row>
      </sheetData>
      <sheetData sheetId="12" refreshError="1"/>
      <sheetData sheetId="13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68.522715921836337</v>
          </cell>
        </row>
        <row r="53">
          <cell r="Q53">
            <v>382575.5</v>
          </cell>
        </row>
      </sheetData>
      <sheetData sheetId="1"/>
      <sheetData sheetId="2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66.322339011719222</v>
          </cell>
        </row>
        <row r="53">
          <cell r="Q53">
            <v>294786.5</v>
          </cell>
        </row>
      </sheetData>
      <sheetData sheetId="1"/>
      <sheetData sheetId="2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68.918084677617543</v>
          </cell>
        </row>
        <row r="53">
          <cell r="Q53">
            <v>363638</v>
          </cell>
        </row>
      </sheetData>
      <sheetData sheetId="1"/>
      <sheetData sheetId="2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70.195856271862354</v>
          </cell>
        </row>
        <row r="53">
          <cell r="Q53">
            <v>409253</v>
          </cell>
        </row>
      </sheetData>
      <sheetData sheetId="1"/>
      <sheetData sheetId="2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70.168844063031443</v>
          </cell>
        </row>
        <row r="53">
          <cell r="Q53">
            <v>436318.5</v>
          </cell>
        </row>
      </sheetData>
      <sheetData sheetId="1"/>
      <sheetData sheetId="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68.816700105310318</v>
          </cell>
        </row>
        <row r="53">
          <cell r="Q53">
            <v>394205.5</v>
          </cell>
        </row>
      </sheetData>
      <sheetData sheetId="1"/>
      <sheetData sheetId="2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69.159867158685628</v>
          </cell>
        </row>
        <row r="53">
          <cell r="Q53">
            <v>404419.5</v>
          </cell>
        </row>
      </sheetData>
      <sheetData sheetId="1"/>
      <sheetData sheetId="2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70.314543692499498</v>
          </cell>
        </row>
        <row r="53">
          <cell r="Q53">
            <v>422032</v>
          </cell>
        </row>
      </sheetData>
      <sheetData sheetId="1"/>
      <sheetData sheetId="2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69.457742211364575</v>
          </cell>
        </row>
        <row r="53">
          <cell r="Q53">
            <v>390047.5</v>
          </cell>
        </row>
      </sheetData>
      <sheetData sheetId="1"/>
      <sheetData sheetId="2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69.591838941480631</v>
          </cell>
        </row>
        <row r="53">
          <cell r="Q53">
            <v>371391.5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681889</v>
          </cell>
          <cell r="Q53">
            <v>401719.5</v>
          </cell>
        </row>
        <row r="56">
          <cell r="Q56">
            <v>24579.5</v>
          </cell>
        </row>
      </sheetData>
      <sheetData sheetId="1"/>
      <sheetData sheetId="2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69.547498570652579</v>
          </cell>
        </row>
        <row r="53">
          <cell r="Q53">
            <v>421126.5</v>
          </cell>
        </row>
      </sheetData>
      <sheetData sheetId="1"/>
      <sheetData sheetId="2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69.426120892191861</v>
          </cell>
        </row>
        <row r="53">
          <cell r="Q53">
            <v>390112.60000000003</v>
          </cell>
        </row>
      </sheetData>
      <sheetData sheetId="1"/>
      <sheetData sheetId="2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68.081953691997271</v>
          </cell>
        </row>
        <row r="53">
          <cell r="Q53">
            <v>381413.5</v>
          </cell>
        </row>
      </sheetData>
      <sheetData sheetId="1"/>
      <sheetData sheetId="2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64.082663371319256</v>
          </cell>
        </row>
        <row r="53">
          <cell r="Q53">
            <v>264918.5</v>
          </cell>
        </row>
      </sheetData>
      <sheetData sheetId="1"/>
      <sheetData sheetId="2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69.215803080794672</v>
          </cell>
        </row>
        <row r="53">
          <cell r="Q53">
            <v>369446.5</v>
          </cell>
        </row>
      </sheetData>
      <sheetData sheetId="1"/>
      <sheetData sheetId="2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69.440219030250788</v>
          </cell>
        </row>
        <row r="53">
          <cell r="Q53">
            <v>406815</v>
          </cell>
        </row>
      </sheetData>
      <sheetData sheetId="1"/>
      <sheetData sheetId="2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70.10451895760221</v>
          </cell>
        </row>
        <row r="53">
          <cell r="Q53">
            <v>410401</v>
          </cell>
        </row>
      </sheetData>
      <sheetData sheetId="1"/>
      <sheetData sheetId="2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">
          <cell r="AJ4">
            <v>253</v>
          </cell>
        </row>
        <row r="49">
          <cell r="I49">
            <v>68.503418542417606</v>
          </cell>
        </row>
        <row r="53">
          <cell r="Q53">
            <v>393580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742985.20000000007</v>
          </cell>
          <cell r="Q53">
            <v>399087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707285.5</v>
          </cell>
          <cell r="Q53">
            <v>371710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W69"/>
  <sheetViews>
    <sheetView zoomScaleNormal="100" workbookViewId="0">
      <selection activeCell="E20" sqref="E20"/>
    </sheetView>
  </sheetViews>
  <sheetFormatPr defaultRowHeight="15" x14ac:dyDescent="0.25"/>
  <cols>
    <col min="1" max="1" width="9.140625" style="2"/>
    <col min="2" max="2" width="10.5703125" style="2" bestFit="1" customWidth="1"/>
    <col min="3" max="3" width="12.42578125" style="2" bestFit="1" customWidth="1"/>
    <col min="4" max="16" width="9.140625" style="2"/>
    <col min="17" max="17" width="11.5703125" style="2" bestFit="1" customWidth="1"/>
    <col min="18" max="18" width="10.5703125" style="2" bestFit="1" customWidth="1"/>
    <col min="19" max="16384" width="9.140625" style="2"/>
  </cols>
  <sheetData>
    <row r="2" spans="1:23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3" ht="15.75" thickBot="1" x14ac:dyDescent="0.3">
      <c r="A3" s="3" t="s">
        <v>49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1"/>
    </row>
    <row r="4" spans="1:23" ht="15.75" thickBot="1" x14ac:dyDescent="0.3">
      <c r="A4" s="6" t="s">
        <v>50</v>
      </c>
      <c r="B4" s="6" t="s">
        <v>51</v>
      </c>
      <c r="C4" s="6" t="s">
        <v>52</v>
      </c>
      <c r="D4" s="7" t="s">
        <v>24</v>
      </c>
      <c r="E4" s="7" t="s">
        <v>26</v>
      </c>
      <c r="F4" s="7" t="s">
        <v>28</v>
      </c>
      <c r="G4" s="8" t="s">
        <v>30</v>
      </c>
      <c r="H4" s="8" t="s">
        <v>32</v>
      </c>
      <c r="I4" s="8" t="s">
        <v>34</v>
      </c>
      <c r="J4" s="8" t="s">
        <v>36</v>
      </c>
      <c r="K4" s="8" t="s">
        <v>38</v>
      </c>
      <c r="L4" s="8" t="s">
        <v>40</v>
      </c>
      <c r="M4" s="8" t="s">
        <v>42</v>
      </c>
      <c r="N4" s="8" t="s">
        <v>44</v>
      </c>
      <c r="O4" s="9" t="s">
        <v>46</v>
      </c>
      <c r="P4" s="1"/>
      <c r="S4" s="10"/>
    </row>
    <row r="5" spans="1:23" x14ac:dyDescent="0.25">
      <c r="A5" s="11" t="s">
        <v>53</v>
      </c>
      <c r="B5" s="11" t="s">
        <v>13</v>
      </c>
      <c r="C5" s="12" t="s">
        <v>54</v>
      </c>
      <c r="D5" s="13">
        <f>[1]Tabelas_Consumos!B6</f>
        <v>123023.90638554505</v>
      </c>
      <c r="E5" s="14">
        <f>[1]Tabelas_Consumos!C6</f>
        <v>105803.47867990425</v>
      </c>
      <c r="F5" s="14">
        <f>[1]Tabelas_Consumos!D6</f>
        <v>121642.77483039761</v>
      </c>
      <c r="G5" s="14">
        <f>[1]Tabelas_Consumos!E6</f>
        <v>113520.48925761247</v>
      </c>
      <c r="H5" s="14">
        <f>[1]Tabelas_Consumos!F6</f>
        <v>116824.40921799744</v>
      </c>
      <c r="I5" s="14">
        <f>[1]Tabelas_Consumos!G6</f>
        <v>107549.18069356021</v>
      </c>
      <c r="J5" s="14">
        <f>[1]Tabelas_Consumos!H6</f>
        <v>110791.54941777157</v>
      </c>
      <c r="K5" s="14">
        <f>[1]Tabelas_Consumos!I6</f>
        <v>103463.65122517012</v>
      </c>
      <c r="L5" s="14">
        <f>[1]Tabelas_Consumos!J6</f>
        <v>116583.19367769077</v>
      </c>
      <c r="M5" s="14">
        <f>[1]Tabelas_Consumos!K6</f>
        <v>125332.34140434962</v>
      </c>
      <c r="N5" s="14">
        <f>[1]Tabelas_Consumos!L6</f>
        <v>120234.26267127556</v>
      </c>
      <c r="O5" s="15">
        <f>[1]Tabelas_Consumos!M6</f>
        <v>122674.89442877812</v>
      </c>
      <c r="P5" s="1"/>
      <c r="S5" s="10"/>
    </row>
    <row r="6" spans="1:23" x14ac:dyDescent="0.25">
      <c r="A6" s="16"/>
      <c r="B6" s="16"/>
      <c r="C6" s="17" t="s">
        <v>55</v>
      </c>
      <c r="D6" s="18">
        <f>[1]Tabelas_Consumos!B7</f>
        <v>127222.89832659526</v>
      </c>
      <c r="E6" s="19">
        <f>[1]Tabelas_Consumos!C7</f>
        <v>117675.19048568539</v>
      </c>
      <c r="F6" s="19">
        <f>[1]Tabelas_Consumos!D7</f>
        <v>123286.89933177436</v>
      </c>
      <c r="G6" s="19">
        <f>[1]Tabelas_Consumos!E7</f>
        <v>120535.92820511451</v>
      </c>
      <c r="H6" s="19">
        <f>[1]Tabelas_Consumos!F7</f>
        <v>119032.74928106251</v>
      </c>
      <c r="I6" s="19">
        <f>[1]Tabelas_Consumos!G7</f>
        <v>118761.55746091536</v>
      </c>
      <c r="J6" s="19">
        <f>[1]Tabelas_Consumos!H7</f>
        <v>119380.4411876185</v>
      </c>
      <c r="K6" s="19">
        <f>[1]Tabelas_Consumos!I7</f>
        <v>105297.19488331745</v>
      </c>
      <c r="L6" s="19">
        <f>[1]Tabelas_Consumos!J7</f>
        <v>114891.09680831496</v>
      </c>
      <c r="M6" s="19">
        <f>[1]Tabelas_Consumos!K7</f>
        <v>123261.4185862935</v>
      </c>
      <c r="N6" s="19">
        <f>[1]Tabelas_Consumos!L7</f>
        <v>118338.15607373876</v>
      </c>
      <c r="O6" s="20">
        <f>[1]Tabelas_Consumos!M7</f>
        <v>123674.05484478688</v>
      </c>
      <c r="P6" s="1"/>
    </row>
    <row r="7" spans="1:23" x14ac:dyDescent="0.25">
      <c r="A7" s="16"/>
      <c r="B7" s="16"/>
      <c r="C7" s="17" t="s">
        <v>56</v>
      </c>
      <c r="D7" s="18">
        <f>[2]Tabelas_Consumos!B6</f>
        <v>127534.18285780319</v>
      </c>
      <c r="E7" s="19">
        <f>[2]Tabelas_Consumos!C6</f>
        <v>110075.21511869688</v>
      </c>
      <c r="F7" s="19">
        <f>[2]Tabelas_Consumos!D6</f>
        <v>120489.53730060629</v>
      </c>
      <c r="G7" s="19">
        <f>[2]Tabelas_Consumos!E6</f>
        <v>119592.839036554</v>
      </c>
      <c r="H7" s="19">
        <f>[2]Tabelas_Consumos!F6</f>
        <v>118119.07647772707</v>
      </c>
      <c r="I7" s="19">
        <f>[2]Tabelas_Consumos!G6</f>
        <v>109824.7225121947</v>
      </c>
      <c r="J7" s="19">
        <f>[2]Tabelas_Consumos!H6</f>
        <v>111411.34801694767</v>
      </c>
      <c r="K7" s="19">
        <f>[2]Tabelas_Consumos!I6</f>
        <v>95706.615719578607</v>
      </c>
      <c r="L7" s="19">
        <f>[2]Tabelas_Consumos!J6</f>
        <v>106529.92297373408</v>
      </c>
      <c r="M7" s="19">
        <f>[2]Tabelas_Consumos!K6</f>
        <v>109268.62644499465</v>
      </c>
      <c r="N7" s="19">
        <f>[2]Tabelas_Consumos!L6</f>
        <v>110544.94759604581</v>
      </c>
      <c r="O7" s="20">
        <f>[2]Tabelas_Consumos!M6</f>
        <v>111769.63739115441</v>
      </c>
      <c r="P7" s="1"/>
    </row>
    <row r="8" spans="1:23" x14ac:dyDescent="0.25">
      <c r="A8" s="16"/>
      <c r="B8" s="16"/>
      <c r="C8" s="17">
        <v>10</v>
      </c>
      <c r="D8" s="18">
        <f>[2]Tabelas_Consumos!B7</f>
        <v>114214.43025196025</v>
      </c>
      <c r="E8" s="19">
        <f>[2]Tabelas_Consumos!C7</f>
        <v>104887.44122405455</v>
      </c>
      <c r="F8" s="19">
        <f>[2]Tabelas_Consumos!D7</f>
        <v>120088.79361382684</v>
      </c>
      <c r="G8" s="19">
        <f>[2]Tabelas_Consumos!E7</f>
        <v>110481.76786959523</v>
      </c>
      <c r="H8" s="19">
        <f>[2]Tabelas_Consumos!F7</f>
        <v>114041.084766917</v>
      </c>
      <c r="I8" s="19">
        <f>[2]Tabelas_Consumos!G7</f>
        <v>103736.90507981859</v>
      </c>
      <c r="J8" s="19">
        <f>[2]Tabelas_Consumos!H7</f>
        <v>111515.93454484755</v>
      </c>
      <c r="K8" s="19">
        <f>[2]Tabelas_Consumos!I7</f>
        <v>92632.122581135161</v>
      </c>
      <c r="L8" s="19">
        <f>[2]Tabelas_Consumos!J7</f>
        <v>101550.18815111333</v>
      </c>
      <c r="M8" s="19">
        <f>[2]Tabelas_Consumos!K7</f>
        <v>109709.59246041346</v>
      </c>
      <c r="N8" s="19">
        <f>[2]Tabelas_Consumos!L7</f>
        <v>128813.46146805643</v>
      </c>
      <c r="O8" s="20">
        <f>[2]Tabelas_Consumos!M7</f>
        <v>105609.2670943858</v>
      </c>
      <c r="P8" s="1"/>
    </row>
    <row r="9" spans="1:23" x14ac:dyDescent="0.25">
      <c r="A9" s="16"/>
      <c r="B9" s="16"/>
      <c r="C9" s="17">
        <v>11</v>
      </c>
      <c r="D9" s="18">
        <f>[3]Tabelas_Consumos!B6</f>
        <v>107477.60549332235</v>
      </c>
      <c r="E9" s="19">
        <f>[3]Tabelas_Consumos!C6</f>
        <v>95716.268494025484</v>
      </c>
      <c r="F9" s="19">
        <f>[3]Tabelas_Consumos!D6</f>
        <v>104305.51243212511</v>
      </c>
      <c r="G9" s="19">
        <f>[3]Tabelas_Consumos!E6</f>
        <v>100194.20631868737</v>
      </c>
      <c r="H9" s="19">
        <f>[3]Tabelas_Consumos!F6</f>
        <v>104186.83860065979</v>
      </c>
      <c r="I9" s="19">
        <f>[3]Tabelas_Consumos!G6</f>
        <v>101061.09400405805</v>
      </c>
      <c r="J9" s="19">
        <f>[3]Tabelas_Consumos!H6</f>
        <v>98711.818538541949</v>
      </c>
      <c r="K9" s="19">
        <f>[3]Tabelas_Consumos!I6</f>
        <v>92419.752284148271</v>
      </c>
      <c r="L9" s="19">
        <f>[3]Tabelas_Consumos!J6</f>
        <v>99628.828707465742</v>
      </c>
      <c r="M9" s="19">
        <f>[3]Tabelas_Consumos!K6</f>
        <v>108287.06223028527</v>
      </c>
      <c r="N9" s="19">
        <f>[3]Tabelas_Consumos!L6</f>
        <v>102885.19718868876</v>
      </c>
      <c r="O9" s="20">
        <f>[3]Tabelas_Consumos!M6</f>
        <v>101124.67324967906</v>
      </c>
      <c r="P9" s="1"/>
    </row>
    <row r="10" spans="1:23" ht="15.75" thickBot="1" x14ac:dyDescent="0.3">
      <c r="A10" s="16"/>
      <c r="B10" s="21"/>
      <c r="C10" s="22">
        <v>12</v>
      </c>
      <c r="D10" s="23">
        <f>[3]Tabelas_Consumos!B7</f>
        <v>102084.16939617167</v>
      </c>
      <c r="E10" s="24">
        <f>[3]Tabelas_Consumos!C7</f>
        <v>95825.384622570142</v>
      </c>
      <c r="F10" s="24">
        <f>[3]Tabelas_Consumos!D7</f>
        <v>100668.95974131358</v>
      </c>
      <c r="G10" s="24">
        <f>[3]Tabelas_Consumos!E7</f>
        <v>99128.59580209585</v>
      </c>
      <c r="H10" s="24">
        <f>[3]Tabelas_Consumos!F7</f>
        <v>100930.7997317978</v>
      </c>
      <c r="I10" s="24">
        <f>[3]Tabelas_Consumos!G7</f>
        <v>93370.232719600055</v>
      </c>
      <c r="J10" s="24">
        <f>[3]Tabelas_Consumos!H7</f>
        <v>91202.074731917513</v>
      </c>
      <c r="K10" s="24">
        <f>[3]Tabelas_Consumos!I7</f>
        <v>73963.293922081488</v>
      </c>
      <c r="L10" s="24">
        <f>[3]Tabelas_Consumos!J7</f>
        <v>91480.52804874345</v>
      </c>
      <c r="M10" s="24">
        <f>[3]Tabelas_Consumos!K7</f>
        <v>101904.55278989873</v>
      </c>
      <c r="N10" s="24">
        <f>[3]Tabelas_Consumos!L7</f>
        <v>108065.54092847316</v>
      </c>
      <c r="O10" s="25">
        <f>[3]Tabelas_Consumos!M7</f>
        <v>109538.80743228427</v>
      </c>
      <c r="P10" s="1"/>
      <c r="Q10" s="26"/>
      <c r="R10" s="26"/>
      <c r="S10" s="26"/>
      <c r="T10" s="26"/>
      <c r="U10" s="26"/>
      <c r="V10" s="26"/>
      <c r="W10" s="26"/>
    </row>
    <row r="11" spans="1:23" x14ac:dyDescent="0.25">
      <c r="A11" s="16"/>
      <c r="B11" s="11" t="s">
        <v>16</v>
      </c>
      <c r="C11" s="12" t="s">
        <v>54</v>
      </c>
      <c r="D11" s="13">
        <f>[1]Tabelas_Consumos!B21</f>
        <v>94317.300621005721</v>
      </c>
      <c r="E11" s="14">
        <f>[1]Tabelas_Consumos!C21</f>
        <v>73482.562446293887</v>
      </c>
      <c r="F11" s="14">
        <f>[1]Tabelas_Consumos!D21</f>
        <v>94006.131547536352</v>
      </c>
      <c r="G11" s="14">
        <f>[1]Tabelas_Consumos!E21</f>
        <v>93333.091446967504</v>
      </c>
      <c r="H11" s="14">
        <f>[1]Tabelas_Consumos!F21</f>
        <v>100332.92347234921</v>
      </c>
      <c r="I11" s="14">
        <f>[1]Tabelas_Consumos!G21</f>
        <v>105282.03100649033</v>
      </c>
      <c r="J11" s="14">
        <f>[1]Tabelas_Consumos!H21</f>
        <v>100515.09688748872</v>
      </c>
      <c r="K11" s="14">
        <f>[1]Tabelas_Consumos!I21</f>
        <v>86619.330022286886</v>
      </c>
      <c r="L11" s="14">
        <f>[1]Tabelas_Consumos!J21</f>
        <v>89463.831886962987</v>
      </c>
      <c r="M11" s="14">
        <f>[1]Tabelas_Consumos!K21</f>
        <v>90847.199802981209</v>
      </c>
      <c r="N11" s="14">
        <f>[1]Tabelas_Consumos!L21</f>
        <v>65196.811537633665</v>
      </c>
      <c r="O11" s="15">
        <f>[1]Tabelas_Consumos!M21</f>
        <v>58817.427778910744</v>
      </c>
      <c r="P11" s="27"/>
      <c r="Q11" s="28"/>
      <c r="R11" s="29"/>
      <c r="S11" s="26"/>
      <c r="T11" s="26"/>
      <c r="U11" s="26"/>
      <c r="V11" s="26"/>
      <c r="W11" s="26"/>
    </row>
    <row r="12" spans="1:23" x14ac:dyDescent="0.25">
      <c r="A12" s="16"/>
      <c r="B12" s="16"/>
      <c r="C12" s="17" t="s">
        <v>55</v>
      </c>
      <c r="D12" s="18">
        <f>[1]Tabelas_Consumos!B22</f>
        <v>58587.459000702373</v>
      </c>
      <c r="E12" s="19">
        <f>[1]Tabelas_Consumos!C22</f>
        <v>55446.657933881652</v>
      </c>
      <c r="F12" s="19">
        <f>[1]Tabelas_Consumos!D22</f>
        <v>64216.748762515854</v>
      </c>
      <c r="G12" s="19">
        <f>[1]Tabelas_Consumos!E22</f>
        <v>58568.759790757074</v>
      </c>
      <c r="H12" s="19">
        <f>[1]Tabelas_Consumos!F22</f>
        <v>59806.546089831725</v>
      </c>
      <c r="I12" s="19">
        <f>[1]Tabelas_Consumos!G22</f>
        <v>82401.24196380745</v>
      </c>
      <c r="J12" s="19">
        <f>[1]Tabelas_Consumos!H22</f>
        <v>91654.549073220725</v>
      </c>
      <c r="K12" s="19">
        <f>[1]Tabelas_Consumos!I22</f>
        <v>81539.140201469214</v>
      </c>
      <c r="L12" s="19">
        <f>[1]Tabelas_Consumos!J22</f>
        <v>97235.627417584241</v>
      </c>
      <c r="M12" s="19">
        <f>[1]Tabelas_Consumos!K22</f>
        <v>61284.328760949531</v>
      </c>
      <c r="N12" s="19">
        <f>[1]Tabelas_Consumos!L22</f>
        <v>54674.780801369459</v>
      </c>
      <c r="O12" s="20">
        <f>[1]Tabelas_Consumos!M22</f>
        <v>46244.855580621806</v>
      </c>
      <c r="P12" s="30"/>
      <c r="Q12" s="28"/>
      <c r="R12" s="31"/>
      <c r="S12" s="26"/>
      <c r="T12" s="26"/>
      <c r="U12" s="26"/>
      <c r="V12" s="26"/>
      <c r="W12" s="26"/>
    </row>
    <row r="13" spans="1:23" x14ac:dyDescent="0.25">
      <c r="A13" s="16"/>
      <c r="B13" s="16"/>
      <c r="C13" s="17" t="s">
        <v>56</v>
      </c>
      <c r="D13" s="18">
        <f>[2]Tabelas_Consumos!B21</f>
        <v>43879.118642852292</v>
      </c>
      <c r="E13" s="19">
        <f>[2]Tabelas_Consumos!C21</f>
        <v>48861.969961270748</v>
      </c>
      <c r="F13" s="19">
        <f>[2]Tabelas_Consumos!D21</f>
        <v>54060.112197618299</v>
      </c>
      <c r="G13" s="19">
        <f>[2]Tabelas_Consumos!E21</f>
        <v>50943.917761671713</v>
      </c>
      <c r="H13" s="19">
        <f>[2]Tabelas_Consumos!F21</f>
        <v>61777.362598175809</v>
      </c>
      <c r="I13" s="19">
        <f>[2]Tabelas_Consumos!G21</f>
        <v>86045.005646365418</v>
      </c>
      <c r="J13" s="19">
        <f>[2]Tabelas_Consumos!H21</f>
        <v>82999.603238863332</v>
      </c>
      <c r="K13" s="19">
        <f>[2]Tabelas_Consumos!I21</f>
        <v>80152.733248874749</v>
      </c>
      <c r="L13" s="19">
        <f>[2]Tabelas_Consumos!J21</f>
        <v>78886.721991056969</v>
      </c>
      <c r="M13" s="19">
        <f>[2]Tabelas_Consumos!K21</f>
        <v>71243.499348577301</v>
      </c>
      <c r="N13" s="19">
        <f>[2]Tabelas_Consumos!L21</f>
        <v>53523.511490512908</v>
      </c>
      <c r="O13" s="20">
        <f>[2]Tabelas_Consumos!M21</f>
        <v>48298.826009296034</v>
      </c>
      <c r="P13" s="30"/>
      <c r="Q13" s="32"/>
      <c r="R13" s="33"/>
      <c r="S13" s="34"/>
      <c r="T13" s="26"/>
      <c r="U13" s="26"/>
      <c r="V13" s="26"/>
      <c r="W13" s="10"/>
    </row>
    <row r="14" spans="1:23" x14ac:dyDescent="0.25">
      <c r="A14" s="16"/>
      <c r="B14" s="16"/>
      <c r="C14" s="17">
        <v>10</v>
      </c>
      <c r="D14" s="18">
        <f>[2]Tabelas_Consumos!B22</f>
        <v>46103.852187250908</v>
      </c>
      <c r="E14" s="19">
        <f>[2]Tabelas_Consumos!C22</f>
        <v>47422.331667857397</v>
      </c>
      <c r="F14" s="19">
        <f>[2]Tabelas_Consumos!D22</f>
        <v>48263.084478557881</v>
      </c>
      <c r="G14" s="19">
        <f>[2]Tabelas_Consumos!E22</f>
        <v>47077.239749740555</v>
      </c>
      <c r="H14" s="19">
        <f>[2]Tabelas_Consumos!F22</f>
        <v>62175.568589239192</v>
      </c>
      <c r="I14" s="19">
        <f>[2]Tabelas_Consumos!G22</f>
        <v>69153.762718784099</v>
      </c>
      <c r="J14" s="19">
        <f>[2]Tabelas_Consumos!H22</f>
        <v>97725.494635613984</v>
      </c>
      <c r="K14" s="19">
        <f>[2]Tabelas_Consumos!I22</f>
        <v>92027.607485239612</v>
      </c>
      <c r="L14" s="19">
        <f>[2]Tabelas_Consumos!J22</f>
        <v>80601.691877872756</v>
      </c>
      <c r="M14" s="19">
        <f>[2]Tabelas_Consumos!K22</f>
        <v>53253.220526601617</v>
      </c>
      <c r="N14" s="19">
        <f>[2]Tabelas_Consumos!L22</f>
        <v>51031.801750725041</v>
      </c>
      <c r="O14" s="20">
        <f>[2]Tabelas_Consumos!M22</f>
        <v>46481.257972845931</v>
      </c>
      <c r="P14" s="30"/>
      <c r="Q14" s="32"/>
      <c r="R14" s="31"/>
      <c r="S14" s="26"/>
      <c r="T14" s="26"/>
      <c r="U14" s="26"/>
      <c r="V14" s="26"/>
      <c r="W14" s="26"/>
    </row>
    <row r="15" spans="1:23" x14ac:dyDescent="0.25">
      <c r="A15" s="16"/>
      <c r="B15" s="16"/>
      <c r="C15" s="17">
        <v>11</v>
      </c>
      <c r="D15" s="18">
        <f>[3]Tabelas_Consumos!B21</f>
        <v>50135.44123594604</v>
      </c>
      <c r="E15" s="19">
        <f>[3]Tabelas_Consumos!C21</f>
        <v>44441.653560590712</v>
      </c>
      <c r="F15" s="19">
        <f>[3]Tabelas_Consumos!D21</f>
        <v>48183.779142567357</v>
      </c>
      <c r="G15" s="19">
        <f>[3]Tabelas_Consumos!E21</f>
        <v>57962.17362606214</v>
      </c>
      <c r="H15" s="19">
        <f>[3]Tabelas_Consumos!F21</f>
        <v>68463.642870522206</v>
      </c>
      <c r="I15" s="19">
        <f>[3]Tabelas_Consumos!G21</f>
        <v>66053.565277038433</v>
      </c>
      <c r="J15" s="19">
        <f>[3]Tabelas_Consumos!H21</f>
        <v>67814.422192386279</v>
      </c>
      <c r="K15" s="19">
        <f>[3]Tabelas_Consumos!I21</f>
        <v>54112.113803559776</v>
      </c>
      <c r="L15" s="19">
        <f>[3]Tabelas_Consumos!J21</f>
        <v>58055.545705900127</v>
      </c>
      <c r="M15" s="19">
        <f>[3]Tabelas_Consumos!K21</f>
        <v>50327.385718332807</v>
      </c>
      <c r="N15" s="19">
        <f>[3]Tabelas_Consumos!L21</f>
        <v>17999.177000809123</v>
      </c>
      <c r="O15" s="20">
        <f>[3]Tabelas_Consumos!M21</f>
        <v>17651.447</v>
      </c>
      <c r="P15" s="1"/>
      <c r="Q15" s="35"/>
      <c r="R15" s="36"/>
      <c r="S15" s="26"/>
      <c r="T15" s="26"/>
      <c r="U15" s="26"/>
      <c r="V15" s="26"/>
      <c r="W15" s="26"/>
    </row>
    <row r="16" spans="1:23" ht="15.75" thickBot="1" x14ac:dyDescent="0.3">
      <c r="A16" s="16"/>
      <c r="B16" s="21"/>
      <c r="C16" s="22">
        <v>12</v>
      </c>
      <c r="D16" s="23">
        <f>[3]Tabelas_Consumos!B22</f>
        <v>21801.986999819092</v>
      </c>
      <c r="E16" s="24">
        <f>[3]Tabelas_Consumos!C22</f>
        <v>26951.720583988208</v>
      </c>
      <c r="F16" s="24">
        <f>[3]Tabelas_Consumos!D22</f>
        <v>31463.623331328385</v>
      </c>
      <c r="G16" s="24">
        <f>[3]Tabelas_Consumos!E22</f>
        <v>29082.744317511064</v>
      </c>
      <c r="H16" s="24">
        <f>[3]Tabelas_Consumos!F22</f>
        <v>47867.52780650444</v>
      </c>
      <c r="I16" s="24">
        <f>[3]Tabelas_Consumos!G22</f>
        <v>51345.16662380792</v>
      </c>
      <c r="J16" s="24">
        <f>[3]Tabelas_Consumos!H22</f>
        <v>61483.830801096221</v>
      </c>
      <c r="K16" s="24">
        <f>[3]Tabelas_Consumos!I22</f>
        <v>29082.744317511064</v>
      </c>
      <c r="L16" s="24">
        <f>[3]Tabelas_Consumos!J22</f>
        <v>63917.24802708489</v>
      </c>
      <c r="M16" s="24">
        <f>[3]Tabelas_Consumos!K22</f>
        <v>45099.959966654475</v>
      </c>
      <c r="N16" s="24">
        <f>[3]Tabelas_Consumos!L22</f>
        <v>44438.647517787555</v>
      </c>
      <c r="O16" s="25">
        <f>[3]Tabelas_Consumos!M22</f>
        <v>23687.909704429272</v>
      </c>
      <c r="P16" s="1"/>
      <c r="Q16" s="35"/>
      <c r="R16" s="36"/>
      <c r="S16" s="26"/>
      <c r="T16" s="26"/>
      <c r="U16" s="26"/>
      <c r="V16" s="26"/>
      <c r="W16" s="26"/>
    </row>
    <row r="17" spans="1:23" x14ac:dyDescent="0.25">
      <c r="A17" s="16"/>
      <c r="B17" s="11" t="s">
        <v>18</v>
      </c>
      <c r="C17" s="12" t="s">
        <v>54</v>
      </c>
      <c r="D17" s="13">
        <f>[1]Tabelas_Consumos!B23</f>
        <v>121069.48375741333</v>
      </c>
      <c r="E17" s="14">
        <f>[1]Tabelas_Consumos!C23</f>
        <v>77612.993710124487</v>
      </c>
      <c r="F17" s="14">
        <f>[1]Tabelas_Consumos!D23</f>
        <v>51826.352756285982</v>
      </c>
      <c r="G17" s="14">
        <f>[1]Tabelas_Consumos!E23</f>
        <v>18095.780205267787</v>
      </c>
      <c r="H17" s="14">
        <f>[1]Tabelas_Consumos!F23</f>
        <v>0</v>
      </c>
      <c r="I17" s="14">
        <f>[1]Tabelas_Consumos!G23</f>
        <v>0</v>
      </c>
      <c r="J17" s="14">
        <f>[1]Tabelas_Consumos!H23</f>
        <v>-0.32334187751985155</v>
      </c>
      <c r="K17" s="14">
        <f>[1]Tabelas_Consumos!I23</f>
        <v>0</v>
      </c>
      <c r="L17" s="14">
        <f>[1]Tabelas_Consumos!J23</f>
        <v>0</v>
      </c>
      <c r="M17" s="14">
        <f>[1]Tabelas_Consumos!K23</f>
        <v>0</v>
      </c>
      <c r="N17" s="14">
        <f>[1]Tabelas_Consumos!L23</f>
        <v>29584.781628168872</v>
      </c>
      <c r="O17" s="15">
        <f>[1]Tabelas_Consumos!M23</f>
        <v>67339.037708072952</v>
      </c>
      <c r="P17" s="1"/>
      <c r="Q17" s="35"/>
      <c r="R17" s="36"/>
      <c r="S17" s="26"/>
      <c r="T17" s="26"/>
      <c r="U17" s="26"/>
      <c r="V17" s="26"/>
      <c r="W17" s="26"/>
    </row>
    <row r="18" spans="1:23" x14ac:dyDescent="0.25">
      <c r="A18" s="16"/>
      <c r="B18" s="16"/>
      <c r="C18" s="17" t="s">
        <v>55</v>
      </c>
      <c r="D18" s="18">
        <f>[1]Tabelas_Consumos!B24</f>
        <v>68469.180849060242</v>
      </c>
      <c r="E18" s="19">
        <f>[1]Tabelas_Consumos!C24</f>
        <v>49124.850772400154</v>
      </c>
      <c r="F18" s="19">
        <f>[1]Tabelas_Consumos!D24</f>
        <v>47716.131265654083</v>
      </c>
      <c r="G18" s="19">
        <f>[1]Tabelas_Consumos!E24</f>
        <v>6882.6846395844332</v>
      </c>
      <c r="H18" s="19">
        <f>[1]Tabelas_Consumos!F24</f>
        <v>0</v>
      </c>
      <c r="I18" s="19">
        <f>[1]Tabelas_Consumos!G24</f>
        <v>0</v>
      </c>
      <c r="J18" s="19">
        <f>[1]Tabelas_Consumos!H24</f>
        <v>0</v>
      </c>
      <c r="K18" s="19">
        <f>[1]Tabelas_Consumos!I24</f>
        <v>0</v>
      </c>
      <c r="L18" s="19">
        <f>[1]Tabelas_Consumos!J24</f>
        <v>0</v>
      </c>
      <c r="M18" s="19">
        <f>[1]Tabelas_Consumos!K24</f>
        <v>0</v>
      </c>
      <c r="N18" s="19">
        <f>[1]Tabelas_Consumos!L24</f>
        <v>43199.017041867977</v>
      </c>
      <c r="O18" s="20">
        <f>[1]Tabelas_Consumos!M24</f>
        <v>52971.2784111566</v>
      </c>
      <c r="P18" s="1"/>
      <c r="Q18" s="35"/>
      <c r="R18" s="36"/>
      <c r="S18" s="26"/>
      <c r="T18" s="26"/>
      <c r="U18" s="26"/>
      <c r="V18" s="26"/>
      <c r="W18" s="26"/>
    </row>
    <row r="19" spans="1:23" x14ac:dyDescent="0.25">
      <c r="A19" s="16"/>
      <c r="B19" s="16"/>
      <c r="C19" s="17" t="s">
        <v>56</v>
      </c>
      <c r="D19" s="18">
        <f>[2]Tabelas_Consumos!B23</f>
        <v>78620.211268184532</v>
      </c>
      <c r="E19" s="19">
        <f>[2]Tabelas_Consumos!C23</f>
        <v>64645.04741628316</v>
      </c>
      <c r="F19" s="19">
        <f>[2]Tabelas_Consumos!D23</f>
        <v>17138.781956008843</v>
      </c>
      <c r="G19" s="19">
        <f>[2]Tabelas_Consumos!E23</f>
        <v>2467.8223929698574</v>
      </c>
      <c r="H19" s="19">
        <f>[2]Tabelas_Consumos!F23</f>
        <v>0</v>
      </c>
      <c r="I19" s="19">
        <f>[2]Tabelas_Consumos!G23</f>
        <v>0</v>
      </c>
      <c r="J19" s="19">
        <f>[2]Tabelas_Consumos!H23</f>
        <v>0</v>
      </c>
      <c r="K19" s="19">
        <f>[2]Tabelas_Consumos!I23</f>
        <v>0</v>
      </c>
      <c r="L19" s="19">
        <f>[2]Tabelas_Consumos!J23</f>
        <v>0</v>
      </c>
      <c r="M19" s="19">
        <f>[2]Tabelas_Consumos!K23</f>
        <v>0</v>
      </c>
      <c r="N19" s="19">
        <f>[2]Tabelas_Consumos!L23</f>
        <v>13383.536906178013</v>
      </c>
      <c r="O19" s="20">
        <f>[2]Tabelas_Consumos!M23</f>
        <v>44031.808868014996</v>
      </c>
      <c r="P19" s="1"/>
      <c r="Q19" s="35"/>
      <c r="R19" s="36"/>
      <c r="S19" s="26"/>
      <c r="T19" s="26"/>
      <c r="U19" s="26"/>
      <c r="V19" s="26"/>
      <c r="W19" s="26"/>
    </row>
    <row r="20" spans="1:23" x14ac:dyDescent="0.25">
      <c r="A20" s="16"/>
      <c r="B20" s="16"/>
      <c r="C20" s="17">
        <v>10</v>
      </c>
      <c r="D20" s="18">
        <f>[2]Tabelas_Consumos!B24</f>
        <v>49824.892435473521</v>
      </c>
      <c r="E20" s="19">
        <f>[2]Tabelas_Consumos!C24</f>
        <v>54631.411134325361</v>
      </c>
      <c r="F20" s="19">
        <f>[2]Tabelas_Consumos!D24</f>
        <v>40584.037593899557</v>
      </c>
      <c r="G20" s="19">
        <f>[2]Tabelas_Consumos!E24</f>
        <v>5089.8775870352556</v>
      </c>
      <c r="H20" s="19">
        <f>[2]Tabelas_Consumos!F24</f>
        <v>0</v>
      </c>
      <c r="I20" s="19">
        <f>[2]Tabelas_Consumos!G24</f>
        <v>0</v>
      </c>
      <c r="J20" s="19">
        <f>[2]Tabelas_Consumos!H24</f>
        <v>0</v>
      </c>
      <c r="K20" s="19">
        <f>[2]Tabelas_Consumos!I24</f>
        <v>0</v>
      </c>
      <c r="L20" s="19">
        <f>[2]Tabelas_Consumos!J24</f>
        <v>0</v>
      </c>
      <c r="M20" s="19">
        <f>[2]Tabelas_Consumos!K24</f>
        <v>0</v>
      </c>
      <c r="N20" s="19">
        <f>[2]Tabelas_Consumos!L24</f>
        <v>23701.043420632664</v>
      </c>
      <c r="O20" s="20">
        <f>[2]Tabelas_Consumos!M24</f>
        <v>54189.245282492673</v>
      </c>
      <c r="P20" s="1"/>
      <c r="Q20" s="35"/>
      <c r="R20" s="36"/>
      <c r="S20" s="26"/>
      <c r="T20" s="26"/>
      <c r="U20" s="26"/>
      <c r="V20" s="26"/>
      <c r="W20" s="26"/>
    </row>
    <row r="21" spans="1:23" x14ac:dyDescent="0.25">
      <c r="A21" s="16"/>
      <c r="B21" s="16"/>
      <c r="C21" s="17">
        <v>11</v>
      </c>
      <c r="D21" s="18">
        <f>[3]Tabelas_Consumos!B23</f>
        <v>56541.984734993355</v>
      </c>
      <c r="E21" s="19">
        <f>[3]Tabelas_Consumos!C23</f>
        <v>46622.44708126974</v>
      </c>
      <c r="F21" s="19">
        <f>[3]Tabelas_Consumos!D23</f>
        <v>24132.230458290851</v>
      </c>
      <c r="G21" s="19">
        <f>[3]Tabelas_Consumos!E23</f>
        <v>0</v>
      </c>
      <c r="H21" s="19">
        <f>[3]Tabelas_Consumos!F23</f>
        <v>0</v>
      </c>
      <c r="I21" s="19">
        <f>[3]Tabelas_Consumos!G23</f>
        <v>0</v>
      </c>
      <c r="J21" s="19">
        <f>[3]Tabelas_Consumos!H23</f>
        <v>0</v>
      </c>
      <c r="K21" s="19">
        <f>[3]Tabelas_Consumos!I23</f>
        <v>0</v>
      </c>
      <c r="L21" s="19">
        <f>[3]Tabelas_Consumos!J23</f>
        <v>0</v>
      </c>
      <c r="M21" s="19">
        <f>[3]Tabelas_Consumos!K23</f>
        <v>0</v>
      </c>
      <c r="N21" s="19">
        <f>[3]Tabelas_Consumos!L23</f>
        <v>24673.6955061761</v>
      </c>
      <c r="O21" s="20">
        <f>[3]Tabelas_Consumos!M23</f>
        <v>37216.564411162777</v>
      </c>
      <c r="P21" s="1"/>
      <c r="Q21" s="35"/>
      <c r="R21" s="36"/>
      <c r="S21" s="26"/>
      <c r="T21" s="26"/>
      <c r="U21" s="26"/>
      <c r="V21" s="26"/>
      <c r="W21" s="26"/>
    </row>
    <row r="22" spans="1:23" ht="15.75" thickBot="1" x14ac:dyDescent="0.3">
      <c r="A22" s="21"/>
      <c r="B22" s="21"/>
      <c r="C22" s="22">
        <v>12</v>
      </c>
      <c r="D22" s="23">
        <f>[3]Tabelas_Consumos!B24</f>
        <v>42305.942468414003</v>
      </c>
      <c r="E22" s="24">
        <f>[3]Tabelas_Consumos!C24</f>
        <v>52677.02819739603</v>
      </c>
      <c r="F22" s="24">
        <f>[3]Tabelas_Consumos!D24</f>
        <v>13009.282015054469</v>
      </c>
      <c r="G22" s="24">
        <f>[3]Tabelas_Consumos!E24</f>
        <v>6876.6129671801809</v>
      </c>
      <c r="H22" s="24">
        <f>[3]Tabelas_Consumos!F24</f>
        <v>1803.5368802055968</v>
      </c>
      <c r="I22" s="24">
        <f>[3]Tabelas_Consumos!G24</f>
        <v>0</v>
      </c>
      <c r="J22" s="24">
        <f>[3]Tabelas_Consumos!H24</f>
        <v>0</v>
      </c>
      <c r="K22" s="24">
        <f>[3]Tabelas_Consumos!I24</f>
        <v>0</v>
      </c>
      <c r="L22" s="24">
        <f>[3]Tabelas_Consumos!J24</f>
        <v>0</v>
      </c>
      <c r="M22" s="24">
        <f>[3]Tabelas_Consumos!K24</f>
        <v>2521.8596259020028</v>
      </c>
      <c r="N22" s="24">
        <f>[3]Tabelas_Consumos!L24</f>
        <v>24001</v>
      </c>
      <c r="O22" s="25">
        <f>[3]Tabelas_Consumos!M24</f>
        <v>37985.926254607424</v>
      </c>
      <c r="P22" s="1"/>
      <c r="Q22" s="35"/>
      <c r="R22" s="36"/>
      <c r="S22" s="26"/>
      <c r="T22" s="26"/>
      <c r="U22" s="26"/>
      <c r="V22" s="26"/>
      <c r="W22" s="26"/>
    </row>
    <row r="23" spans="1:2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6"/>
      <c r="R23" s="26"/>
      <c r="S23" s="26"/>
      <c r="T23" s="26"/>
      <c r="U23" s="26"/>
      <c r="V23" s="26"/>
      <c r="W23" s="26"/>
    </row>
    <row r="24" spans="1:23" ht="15.75" thickBot="1" x14ac:dyDescent="0.3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1"/>
      <c r="Q24" s="26"/>
      <c r="R24" s="26"/>
      <c r="S24" s="26"/>
      <c r="T24" s="26"/>
      <c r="U24" s="26"/>
      <c r="V24" s="26"/>
      <c r="W24" s="26"/>
    </row>
    <row r="25" spans="1:23" ht="15.75" thickBot="1" x14ac:dyDescent="0.3">
      <c r="A25" s="3" t="s">
        <v>57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5"/>
      <c r="P25" s="1"/>
    </row>
    <row r="26" spans="1:23" ht="15.75" thickBot="1" x14ac:dyDescent="0.3">
      <c r="A26" s="6" t="s">
        <v>50</v>
      </c>
      <c r="B26" s="6" t="s">
        <v>51</v>
      </c>
      <c r="C26" s="6" t="s">
        <v>52</v>
      </c>
      <c r="D26" s="38" t="s">
        <v>24</v>
      </c>
      <c r="E26" s="7" t="s">
        <v>26</v>
      </c>
      <c r="F26" s="7" t="s">
        <v>28</v>
      </c>
      <c r="G26" s="8" t="s">
        <v>30</v>
      </c>
      <c r="H26" s="8" t="s">
        <v>32</v>
      </c>
      <c r="I26" s="8" t="s">
        <v>34</v>
      </c>
      <c r="J26" s="8" t="s">
        <v>36</v>
      </c>
      <c r="K26" s="8" t="s">
        <v>38</v>
      </c>
      <c r="L26" s="8" t="s">
        <v>40</v>
      </c>
      <c r="M26" s="8" t="s">
        <v>42</v>
      </c>
      <c r="N26" s="8" t="s">
        <v>44</v>
      </c>
      <c r="O26" s="9" t="s">
        <v>46</v>
      </c>
      <c r="P26" s="1"/>
    </row>
    <row r="27" spans="1:23" x14ac:dyDescent="0.25">
      <c r="A27" s="39" t="s">
        <v>58</v>
      </c>
      <c r="B27" s="39" t="s">
        <v>13</v>
      </c>
      <c r="C27" s="40" t="s">
        <v>54</v>
      </c>
      <c r="D27" s="41">
        <f>[1]Tabelas_Consumos!B11</f>
        <v>74612.378619920055</v>
      </c>
      <c r="E27" s="42">
        <f>[1]Tabelas_Consumos!C11</f>
        <v>62070.944341899114</v>
      </c>
      <c r="F27" s="42">
        <f>[1]Tabelas_Consumos!D11</f>
        <v>76254.627093261108</v>
      </c>
      <c r="G27" s="42">
        <f>[1]Tabelas_Consumos!E11</f>
        <v>77374.024878975586</v>
      </c>
      <c r="H27" s="42">
        <f>[1]Tabelas_Consumos!F11</f>
        <v>80125.293967187812</v>
      </c>
      <c r="I27" s="42">
        <f>[1]Tabelas_Consumos!G11</f>
        <v>77597.722392733151</v>
      </c>
      <c r="J27" s="42">
        <f>[1]Tabelas_Consumos!H11</f>
        <v>74244.399297931712</v>
      </c>
      <c r="K27" s="42">
        <f>[1]Tabelas_Consumos!I11</f>
        <v>50247.200595004797</v>
      </c>
      <c r="L27" s="42">
        <f>[1]Tabelas_Consumos!J11</f>
        <v>70424.543801156789</v>
      </c>
      <c r="M27" s="42">
        <f>[1]Tabelas_Consumos!K11</f>
        <v>72477.613337040777</v>
      </c>
      <c r="N27" s="42">
        <f>[1]Tabelas_Consumos!L11</f>
        <v>61001.880284800412</v>
      </c>
      <c r="O27" s="43">
        <f>[1]Tabelas_Consumos!M11</f>
        <v>62085.697603131717</v>
      </c>
      <c r="P27" s="1"/>
    </row>
    <row r="28" spans="1:23" x14ac:dyDescent="0.25">
      <c r="A28" s="44"/>
      <c r="B28" s="44"/>
      <c r="C28" s="45" t="s">
        <v>55</v>
      </c>
      <c r="D28" s="46">
        <f>[1]Tabelas_Consumos!B12</f>
        <v>59574.634085971629</v>
      </c>
      <c r="E28" s="47">
        <f>[1]Tabelas_Consumos!C12</f>
        <v>59592.909750775529</v>
      </c>
      <c r="F28" s="47">
        <f>[1]Tabelas_Consumos!D12</f>
        <v>56568.12592962441</v>
      </c>
      <c r="G28" s="47">
        <f>[1]Tabelas_Consumos!E12</f>
        <v>73300.461230465851</v>
      </c>
      <c r="H28" s="47">
        <f>[1]Tabelas_Consumos!F12</f>
        <v>69089.611464463684</v>
      </c>
      <c r="I28" s="47">
        <f>[1]Tabelas_Consumos!G12</f>
        <v>52319.342181076841</v>
      </c>
      <c r="J28" s="47">
        <f>[1]Tabelas_Consumos!H12</f>
        <v>57073.054699874207</v>
      </c>
      <c r="K28" s="47">
        <f>[1]Tabelas_Consumos!I12</f>
        <v>47342.36799688304</v>
      </c>
      <c r="L28" s="47">
        <f>[1]Tabelas_Consumos!J12</f>
        <v>78069.11747445201</v>
      </c>
      <c r="M28" s="47">
        <f>[1]Tabelas_Consumos!K12</f>
        <v>58548.781226187893</v>
      </c>
      <c r="N28" s="47">
        <f>[1]Tabelas_Consumos!L12</f>
        <v>53819.636622859725</v>
      </c>
      <c r="O28" s="48">
        <f>[1]Tabelas_Consumos!M12</f>
        <v>63426.096466485978</v>
      </c>
      <c r="P28" s="1"/>
    </row>
    <row r="29" spans="1:23" x14ac:dyDescent="0.25">
      <c r="A29" s="44"/>
      <c r="B29" s="44"/>
      <c r="C29" s="45" t="s">
        <v>56</v>
      </c>
      <c r="D29" s="46">
        <f>[4]Tabelas_Consumos!B12</f>
        <v>53496.332423999913</v>
      </c>
      <c r="E29" s="47">
        <f>[4]Tabelas_Consumos!C12</f>
        <v>55428.457100832406</v>
      </c>
      <c r="F29" s="47">
        <f>[4]Tabelas_Consumos!D12</f>
        <v>65077.584059365239</v>
      </c>
      <c r="G29" s="47">
        <f>[4]Tabelas_Consumos!E12</f>
        <v>60911.526055211107</v>
      </c>
      <c r="H29" s="47">
        <f>[4]Tabelas_Consumos!F12</f>
        <v>62124.430786560399</v>
      </c>
      <c r="I29" s="47">
        <f>[4]Tabelas_Consumos!G12</f>
        <v>60354.694463133914</v>
      </c>
      <c r="J29" s="47">
        <f>[4]Tabelas_Consumos!H12</f>
        <v>60084.863997209817</v>
      </c>
      <c r="K29" s="47">
        <f>[4]Tabelas_Consumos!I12</f>
        <v>47819.497869497223</v>
      </c>
      <c r="L29" s="47">
        <f>[4]Tabelas_Consumos!J12</f>
        <v>69312.893805126601</v>
      </c>
      <c r="M29" s="47">
        <f>[4]Tabelas_Consumos!K12</f>
        <v>62547.279032584906</v>
      </c>
      <c r="N29" s="47">
        <f>[4]Tabelas_Consumos!L12</f>
        <v>67663.260650733806</v>
      </c>
      <c r="O29" s="48">
        <f>[4]Tabelas_Consumos!M12</f>
        <v>61693.260825511112</v>
      </c>
      <c r="P29" s="1"/>
    </row>
    <row r="30" spans="1:23" x14ac:dyDescent="0.25">
      <c r="A30" s="44"/>
      <c r="B30" s="44"/>
      <c r="C30" s="45">
        <v>10</v>
      </c>
      <c r="D30" s="46">
        <f>[5]Tabelas_Consumos!B11</f>
        <v>60450.546916731269</v>
      </c>
      <c r="E30" s="47">
        <f>[5]Tabelas_Consumos!C11</f>
        <v>65299.333465937416</v>
      </c>
      <c r="F30" s="47">
        <f>[5]Tabelas_Consumos!D11</f>
        <v>67684.398130534537</v>
      </c>
      <c r="G30" s="47">
        <f>[5]Tabelas_Consumos!E11</f>
        <v>62269.690098627048</v>
      </c>
      <c r="H30" s="47">
        <f>[5]Tabelas_Consumos!F11</f>
        <v>67979.144897236838</v>
      </c>
      <c r="I30" s="47">
        <f>[5]Tabelas_Consumos!G11</f>
        <v>62799.726157837911</v>
      </c>
      <c r="J30" s="47">
        <f>[5]Tabelas_Consumos!H11</f>
        <v>57969.465852777925</v>
      </c>
      <c r="K30" s="47">
        <f>[5]Tabelas_Consumos!I11</f>
        <v>51952.148907073039</v>
      </c>
      <c r="L30" s="47">
        <f>[5]Tabelas_Consumos!J11</f>
        <v>50771.725552590673</v>
      </c>
      <c r="M30" s="47">
        <f>[5]Tabelas_Consumos!K11</f>
        <v>63917.239187367886</v>
      </c>
      <c r="N30" s="47">
        <f>[5]Tabelas_Consumos!L11</f>
        <v>47266.305224352895</v>
      </c>
      <c r="O30" s="48">
        <f>[5]Tabelas_Consumos!M11</f>
        <v>54848.513210417281</v>
      </c>
      <c r="P30" s="1"/>
    </row>
    <row r="31" spans="1:23" x14ac:dyDescent="0.25">
      <c r="A31" s="44"/>
      <c r="B31" s="44"/>
      <c r="C31" s="45">
        <v>11</v>
      </c>
      <c r="D31" s="46">
        <f>[5]Tabelas_Consumos!B12</f>
        <v>65212.21665669122</v>
      </c>
      <c r="E31" s="47">
        <f>[5]Tabelas_Consumos!C12</f>
        <v>68151.258984830682</v>
      </c>
      <c r="F31" s="47">
        <f>[5]Tabelas_Consumos!D12</f>
        <v>61351.292480627497</v>
      </c>
      <c r="G31" s="47">
        <f>[5]Tabelas_Consumos!E12</f>
        <v>57223.041522382657</v>
      </c>
      <c r="H31" s="47">
        <f>[5]Tabelas_Consumos!F12</f>
        <v>68505.60576887583</v>
      </c>
      <c r="I31" s="47">
        <f>[5]Tabelas_Consumos!G12</f>
        <v>57648.060683418938</v>
      </c>
      <c r="J31" s="47">
        <f>[5]Tabelas_Consumos!H12</f>
        <v>51749.575150142453</v>
      </c>
      <c r="K31" s="47">
        <f>[5]Tabelas_Consumos!I12</f>
        <v>43298.950189800031</v>
      </c>
      <c r="L31" s="47">
        <f>[5]Tabelas_Consumos!J12</f>
        <v>45564.89323833424</v>
      </c>
      <c r="M31" s="47">
        <f>[5]Tabelas_Consumos!K12</f>
        <v>56171.241791125285</v>
      </c>
      <c r="N31" s="47">
        <f>[5]Tabelas_Consumos!L12</f>
        <v>59160.489918773164</v>
      </c>
      <c r="O31" s="48">
        <f>[5]Tabelas_Consumos!M12</f>
        <v>52996.34980842712</v>
      </c>
      <c r="P31" s="1"/>
    </row>
    <row r="32" spans="1:23" ht="15.75" thickBot="1" x14ac:dyDescent="0.3">
      <c r="A32" s="44"/>
      <c r="B32" s="49"/>
      <c r="C32" s="50">
        <v>12</v>
      </c>
      <c r="D32" s="51">
        <f>[3]Tabelas_Consumos!B12</f>
        <v>58528.295214600257</v>
      </c>
      <c r="E32" s="52">
        <f>[3]Tabelas_Consumos!C12</f>
        <v>63898.623170979758</v>
      </c>
      <c r="F32" s="52">
        <f>[3]Tabelas_Consumos!D12</f>
        <v>55537.474424245964</v>
      </c>
      <c r="G32" s="52">
        <f>[3]Tabelas_Consumos!E12</f>
        <v>67516.363778836909</v>
      </c>
      <c r="H32" s="52">
        <f>[3]Tabelas_Consumos!F12</f>
        <v>63097.104133378351</v>
      </c>
      <c r="I32" s="52">
        <f>[3]Tabelas_Consumos!G12</f>
        <v>56300.057276456151</v>
      </c>
      <c r="J32" s="52">
        <f>[3]Tabelas_Consumos!H12</f>
        <v>47252.798815531409</v>
      </c>
      <c r="K32" s="52">
        <f>[3]Tabelas_Consumos!I12</f>
        <v>31051.873005929541</v>
      </c>
      <c r="L32" s="52">
        <f>[3]Tabelas_Consumos!J12</f>
        <v>57158.756980853657</v>
      </c>
      <c r="M32" s="52">
        <f>[3]Tabelas_Consumos!K12</f>
        <v>46929.549196865177</v>
      </c>
      <c r="N32" s="52">
        <f>[3]Tabelas_Consumos!L12</f>
        <v>37788.548905664764</v>
      </c>
      <c r="O32" s="53">
        <f>[3]Tabelas_Consumos!M12</f>
        <v>41510.586013153734</v>
      </c>
      <c r="P32" s="1"/>
    </row>
    <row r="33" spans="1:17" x14ac:dyDescent="0.25">
      <c r="A33" s="44"/>
      <c r="B33" s="39" t="s">
        <v>16</v>
      </c>
      <c r="C33" s="40" t="s">
        <v>54</v>
      </c>
      <c r="D33" s="41">
        <f>[1]Tabelas_Consumos!B28</f>
        <v>42740.284891600473</v>
      </c>
      <c r="E33" s="42">
        <f>[1]Tabelas_Consumos!C28</f>
        <v>43199.442846197177</v>
      </c>
      <c r="F33" s="42">
        <f>[1]Tabelas_Consumos!D28</f>
        <v>55474.243932686113</v>
      </c>
      <c r="G33" s="42">
        <f>[1]Tabelas_Consumos!E28</f>
        <v>60030.104934027717</v>
      </c>
      <c r="H33" s="42">
        <f>[1]Tabelas_Consumos!F28</f>
        <v>66192.936459748133</v>
      </c>
      <c r="I33" s="42">
        <f>[1]Tabelas_Consumos!G28</f>
        <v>72113.458908221131</v>
      </c>
      <c r="J33" s="42">
        <f>[1]Tabelas_Consumos!H28</f>
        <v>80862.098753881903</v>
      </c>
      <c r="K33" s="42">
        <f>[1]Tabelas_Consumos!I28</f>
        <v>42122.560202870998</v>
      </c>
      <c r="L33" s="42">
        <f>[1]Tabelas_Consumos!J28</f>
        <v>69240.753963237308</v>
      </c>
      <c r="M33" s="42">
        <f>[1]Tabelas_Consumos!K28</f>
        <v>65804.801699017698</v>
      </c>
      <c r="N33" s="42">
        <f>[1]Tabelas_Consumos!L28</f>
        <v>52173.648057173465</v>
      </c>
      <c r="O33" s="43">
        <f>[1]Tabelas_Consumos!M28</f>
        <v>48115.817745486362</v>
      </c>
      <c r="P33" s="1"/>
    </row>
    <row r="34" spans="1:17" x14ac:dyDescent="0.25">
      <c r="A34" s="44"/>
      <c r="B34" s="44"/>
      <c r="C34" s="45" t="s">
        <v>55</v>
      </c>
      <c r="D34" s="46">
        <f>[4]Tabelas_Consumos!B28</f>
        <v>47171.94374566467</v>
      </c>
      <c r="E34" s="47">
        <f>[4]Tabelas_Consumos!C28</f>
        <v>49918.092992897764</v>
      </c>
      <c r="F34" s="47">
        <f>[4]Tabelas_Consumos!D28</f>
        <v>51838.910109956312</v>
      </c>
      <c r="G34" s="47">
        <f>[4]Tabelas_Consumos!E28</f>
        <v>47663.364195049493</v>
      </c>
      <c r="H34" s="47">
        <f>[4]Tabelas_Consumos!F28</f>
        <v>46435.610390364309</v>
      </c>
      <c r="I34" s="47">
        <f>[4]Tabelas_Consumos!G28</f>
        <v>65118.573697801818</v>
      </c>
      <c r="J34" s="47">
        <f>[4]Tabelas_Consumos!H28</f>
        <v>64105.456019762394</v>
      </c>
      <c r="K34" s="47">
        <f>[4]Tabelas_Consumos!I28</f>
        <v>46955.370377432497</v>
      </c>
      <c r="L34" s="47">
        <f>[4]Tabelas_Consumos!J28</f>
        <v>52440.459545033453</v>
      </c>
      <c r="M34" s="47">
        <f>[4]Tabelas_Consumos!K28</f>
        <v>46103.002401981103</v>
      </c>
      <c r="N34" s="47">
        <f>[4]Tabelas_Consumos!L28</f>
        <v>35130.009070380773</v>
      </c>
      <c r="O34" s="48">
        <f>[4]Tabelas_Consumos!M28</f>
        <v>37965.771607312585</v>
      </c>
      <c r="P34" s="1"/>
    </row>
    <row r="35" spans="1:17" x14ac:dyDescent="0.25">
      <c r="A35" s="44"/>
      <c r="B35" s="44"/>
      <c r="C35" s="45" t="s">
        <v>56</v>
      </c>
      <c r="D35" s="46">
        <f>[4]Tabelas_Consumos!B29</f>
        <v>28532.848187309624</v>
      </c>
      <c r="E35" s="47">
        <f>[4]Tabelas_Consumos!C29</f>
        <v>32755.760966002039</v>
      </c>
      <c r="F35" s="47">
        <f>[4]Tabelas_Consumos!D29</f>
        <v>37702.165793561318</v>
      </c>
      <c r="G35" s="47">
        <f>[4]Tabelas_Consumos!E29</f>
        <v>36666.623902968699</v>
      </c>
      <c r="H35" s="47">
        <f>[4]Tabelas_Consumos!F29</f>
        <v>51648.09203354449</v>
      </c>
      <c r="I35" s="47">
        <f>[4]Tabelas_Consumos!G29</f>
        <v>60850.567017703106</v>
      </c>
      <c r="J35" s="47">
        <f>[4]Tabelas_Consumos!H29</f>
        <v>50001.854748823571</v>
      </c>
      <c r="K35" s="47">
        <f>[4]Tabelas_Consumos!I29</f>
        <v>32778.652645765593</v>
      </c>
      <c r="L35" s="47">
        <f>[4]Tabelas_Consumos!J29</f>
        <v>69755.928471988474</v>
      </c>
      <c r="M35" s="47">
        <f>[4]Tabelas_Consumos!K29</f>
        <v>63414.795289946138</v>
      </c>
      <c r="N35" s="47">
        <f>[4]Tabelas_Consumos!L29</f>
        <v>49697.423875910317</v>
      </c>
      <c r="O35" s="48">
        <f>[4]Tabelas_Consumos!M29</f>
        <v>36896.067248431551</v>
      </c>
      <c r="P35" s="1"/>
    </row>
    <row r="36" spans="1:17" x14ac:dyDescent="0.25">
      <c r="A36" s="44"/>
      <c r="B36" s="44"/>
      <c r="C36" s="45">
        <v>10</v>
      </c>
      <c r="D36" s="46">
        <f>[5]Tabelas_Consumos!B28</f>
        <v>42042.039141122645</v>
      </c>
      <c r="E36" s="47">
        <f>[5]Tabelas_Consumos!C28</f>
        <v>37182.149179966793</v>
      </c>
      <c r="F36" s="47">
        <f>[5]Tabelas_Consumos!D28</f>
        <v>41491.263760286674</v>
      </c>
      <c r="G36" s="47">
        <f>[5]Tabelas_Consumos!E28</f>
        <v>41592.774375356443</v>
      </c>
      <c r="H36" s="47">
        <f>[5]Tabelas_Consumos!F28</f>
        <v>48588.905400472926</v>
      </c>
      <c r="I36" s="47">
        <f>[5]Tabelas_Consumos!G28</f>
        <v>49355.363968543876</v>
      </c>
      <c r="J36" s="47">
        <f>[5]Tabelas_Consumos!H28</f>
        <v>50969.955866542194</v>
      </c>
      <c r="K36" s="47">
        <f>[5]Tabelas_Consumos!I28</f>
        <v>39185.627260871879</v>
      </c>
      <c r="L36" s="47">
        <f>[5]Tabelas_Consumos!J28</f>
        <v>51412.782085233477</v>
      </c>
      <c r="M36" s="47">
        <f>[5]Tabelas_Consumos!K28</f>
        <v>52251.55224474796</v>
      </c>
      <c r="N36" s="47">
        <f>[5]Tabelas_Consumos!L28</f>
        <v>35303.52485232507</v>
      </c>
      <c r="O36" s="48">
        <f>[5]Tabelas_Consumos!M28</f>
        <v>34273.386791912373</v>
      </c>
      <c r="P36" s="1"/>
    </row>
    <row r="37" spans="1:17" x14ac:dyDescent="0.25">
      <c r="A37" s="44"/>
      <c r="B37" s="44"/>
      <c r="C37" s="45">
        <v>11</v>
      </c>
      <c r="D37" s="46">
        <f>[5]Tabelas_Consumos!B29</f>
        <v>43693.134752849845</v>
      </c>
      <c r="E37" s="47">
        <f>[5]Tabelas_Consumos!C29</f>
        <v>26197.960584204699</v>
      </c>
      <c r="F37" s="47">
        <f>[5]Tabelas_Consumos!D29</f>
        <v>28155.137263316341</v>
      </c>
      <c r="G37" s="47">
        <f>[5]Tabelas_Consumos!E29</f>
        <v>36977.347731536611</v>
      </c>
      <c r="H37" s="47">
        <f>[5]Tabelas_Consumos!F29</f>
        <v>61602.460319967562</v>
      </c>
      <c r="I37" s="47">
        <f>[5]Tabelas_Consumos!G29</f>
        <v>47994.533689326774</v>
      </c>
      <c r="J37" s="47">
        <f>[5]Tabelas_Consumos!H29</f>
        <v>38807.771366610839</v>
      </c>
      <c r="K37" s="47">
        <f>[5]Tabelas_Consumos!I29</f>
        <v>22423.580126002165</v>
      </c>
      <c r="L37" s="47">
        <f>[5]Tabelas_Consumos!J29</f>
        <v>31800.127362425039</v>
      </c>
      <c r="M37" s="47">
        <f>[5]Tabelas_Consumos!K29</f>
        <v>45362.649181079367</v>
      </c>
      <c r="N37" s="19">
        <f>[5]Tabelas_Consumos!L29</f>
        <v>33432.330631673634</v>
      </c>
      <c r="O37" s="48">
        <f>[5]Tabelas_Consumos!M29</f>
        <v>17590.499000000003</v>
      </c>
      <c r="P37" s="1"/>
    </row>
    <row r="38" spans="1:17" ht="15.75" thickBot="1" x14ac:dyDescent="0.3">
      <c r="A38" s="44"/>
      <c r="B38" s="49"/>
      <c r="C38" s="50">
        <v>12</v>
      </c>
      <c r="D38" s="51">
        <f>[3]Tabelas_Consumos!B29</f>
        <v>17220.528270771872</v>
      </c>
      <c r="E38" s="24">
        <f>[3]Tabelas_Consumos!C29</f>
        <v>24835.354193742962</v>
      </c>
      <c r="F38" s="24">
        <f>[3]Tabelas_Consumos!D29</f>
        <v>22041.958089885095</v>
      </c>
      <c r="G38" s="24">
        <f>[3]Tabelas_Consumos!E29</f>
        <v>28011.62790251373</v>
      </c>
      <c r="H38" s="24">
        <f>[3]Tabelas_Consumos!F29</f>
        <v>33854.595494317851</v>
      </c>
      <c r="I38" s="24">
        <f>[3]Tabelas_Consumos!G29</f>
        <v>38376.386902257764</v>
      </c>
      <c r="J38" s="24">
        <f>[3]Tabelas_Consumos!H29</f>
        <v>37237.985627467213</v>
      </c>
      <c r="K38" s="24">
        <f>[3]Tabelas_Consumos!I29</f>
        <v>27914.117877515582</v>
      </c>
      <c r="L38" s="24">
        <f>[3]Tabelas_Consumos!J29</f>
        <v>33536.126550031178</v>
      </c>
      <c r="M38" s="24">
        <f>[3]Tabelas_Consumos!K29</f>
        <v>23510.632472206024</v>
      </c>
      <c r="N38" s="24">
        <f>[3]Tabelas_Consumos!L29</f>
        <v>25103</v>
      </c>
      <c r="O38" s="25">
        <f>[3]Tabelas_Consumos!M29</f>
        <v>17953.376914968539</v>
      </c>
      <c r="P38" s="30"/>
      <c r="Q38" s="54"/>
    </row>
    <row r="39" spans="1:17" x14ac:dyDescent="0.25">
      <c r="A39" s="44"/>
      <c r="B39" s="39" t="s">
        <v>18</v>
      </c>
      <c r="C39" s="40" t="s">
        <v>54</v>
      </c>
      <c r="D39" s="41">
        <f>[1]Tabelas_Consumos!B30</f>
        <v>70193.243036965825</v>
      </c>
      <c r="E39" s="14">
        <f>[1]Tabelas_Consumos!C30</f>
        <v>68605.983160592092</v>
      </c>
      <c r="F39" s="14">
        <f>[1]Tabelas_Consumos!D30</f>
        <v>45648.066298143669</v>
      </c>
      <c r="G39" s="14">
        <f>[1]Tabelas_Consumos!E30</f>
        <v>14912.128869917491</v>
      </c>
      <c r="H39" s="14">
        <f>[1]Tabelas_Consumos!F30</f>
        <v>0</v>
      </c>
      <c r="I39" s="14">
        <f>[1]Tabelas_Consumos!G30</f>
        <v>0</v>
      </c>
      <c r="J39" s="14">
        <f>[1]Tabelas_Consumos!H30</f>
        <v>0.2422477154104854</v>
      </c>
      <c r="K39" s="14">
        <f>[1]Tabelas_Consumos!I30</f>
        <v>0</v>
      </c>
      <c r="L39" s="14">
        <f>[1]Tabelas_Consumos!J30</f>
        <v>0</v>
      </c>
      <c r="M39" s="14">
        <f>[1]Tabelas_Consumos!K30</f>
        <v>0</v>
      </c>
      <c r="N39" s="14">
        <f>[1]Tabelas_Consumos!L30</f>
        <v>18774.100705996192</v>
      </c>
      <c r="O39" s="15">
        <f>[1]Tabelas_Consumos!M30</f>
        <v>48817.311742493141</v>
      </c>
      <c r="P39" s="30"/>
      <c r="Q39" s="54"/>
    </row>
    <row r="40" spans="1:17" x14ac:dyDescent="0.25">
      <c r="A40" s="44"/>
      <c r="B40" s="44"/>
      <c r="C40" s="45" t="s">
        <v>55</v>
      </c>
      <c r="D40" s="46">
        <f>[4]Tabelas_Consumos!B30</f>
        <v>44112.814714775188</v>
      </c>
      <c r="E40" s="19">
        <f>[4]Tabelas_Consumos!C30</f>
        <v>42680.17097951311</v>
      </c>
      <c r="F40" s="19">
        <f>[4]Tabelas_Consumos!D30</f>
        <v>30419.847060619431</v>
      </c>
      <c r="G40" s="19">
        <f>[4]Tabelas_Consumos!E30</f>
        <v>4437.6955647029754</v>
      </c>
      <c r="H40" s="19">
        <f>[4]Tabelas_Consumos!F30</f>
        <v>0</v>
      </c>
      <c r="I40" s="19">
        <f>[4]Tabelas_Consumos!G30</f>
        <v>0</v>
      </c>
      <c r="J40" s="19">
        <f>[4]Tabelas_Consumos!H30</f>
        <v>0</v>
      </c>
      <c r="K40" s="19">
        <f>[4]Tabelas_Consumos!I30</f>
        <v>0</v>
      </c>
      <c r="L40" s="19">
        <f>[4]Tabelas_Consumos!J30</f>
        <v>0</v>
      </c>
      <c r="M40" s="19">
        <f>[4]Tabelas_Consumos!K30</f>
        <v>0</v>
      </c>
      <c r="N40" s="19">
        <f>[4]Tabelas_Consumos!L30</f>
        <v>26575.434607038609</v>
      </c>
      <c r="O40" s="20">
        <f>[4]Tabelas_Consumos!M30</f>
        <v>54551.722719929756</v>
      </c>
      <c r="P40" s="30"/>
      <c r="Q40" s="54"/>
    </row>
    <row r="41" spans="1:17" x14ac:dyDescent="0.25">
      <c r="A41" s="44"/>
      <c r="B41" s="44"/>
      <c r="C41" s="45" t="s">
        <v>56</v>
      </c>
      <c r="D41" s="46">
        <f>[4]Tabelas_Consumos!B31</f>
        <v>43019.778901109523</v>
      </c>
      <c r="E41" s="19">
        <f>[4]Tabelas_Consumos!C31</f>
        <v>45748.332254175672</v>
      </c>
      <c r="F41" s="19">
        <f>[4]Tabelas_Consumos!D31</f>
        <v>10797.693294321347</v>
      </c>
      <c r="G41" s="19">
        <f>[4]Tabelas_Consumos!E31</f>
        <v>1893.076149094537</v>
      </c>
      <c r="H41" s="19">
        <f>[4]Tabelas_Consumos!F31</f>
        <v>0</v>
      </c>
      <c r="I41" s="19">
        <f>[4]Tabelas_Consumos!G31</f>
        <v>0</v>
      </c>
      <c r="J41" s="19">
        <f>[4]Tabelas_Consumos!H31</f>
        <v>0</v>
      </c>
      <c r="K41" s="19">
        <f>[4]Tabelas_Consumos!I31</f>
        <v>0</v>
      </c>
      <c r="L41" s="19">
        <f>[4]Tabelas_Consumos!J31</f>
        <v>0</v>
      </c>
      <c r="M41" s="19">
        <f>[4]Tabelas_Consumos!K31</f>
        <v>0</v>
      </c>
      <c r="N41" s="19">
        <f>[4]Tabelas_Consumos!L31</f>
        <v>14262.839964488952</v>
      </c>
      <c r="O41" s="20">
        <f>[4]Tabelas_Consumos!M31</f>
        <v>35080.835786601107</v>
      </c>
      <c r="P41" s="30"/>
      <c r="Q41" s="54"/>
    </row>
    <row r="42" spans="1:17" x14ac:dyDescent="0.25">
      <c r="A42" s="44"/>
      <c r="B42" s="44"/>
      <c r="C42" s="45">
        <v>10</v>
      </c>
      <c r="D42" s="46">
        <f>[5]Tabelas_Consumos!B30</f>
        <v>55153.090915238208</v>
      </c>
      <c r="E42" s="19">
        <f>[5]Tabelas_Consumos!C30</f>
        <v>53153.98805988198</v>
      </c>
      <c r="F42" s="19">
        <f>[5]Tabelas_Consumos!D30</f>
        <v>38671.59500104902</v>
      </c>
      <c r="G42" s="19">
        <f>[5]Tabelas_Consumos!E30</f>
        <v>4230.7828027557507</v>
      </c>
      <c r="H42" s="19">
        <f>[5]Tabelas_Consumos!F30</f>
        <v>0</v>
      </c>
      <c r="I42" s="19">
        <f>[5]Tabelas_Consumos!G30</f>
        <v>0</v>
      </c>
      <c r="J42" s="19">
        <f>[5]Tabelas_Consumos!H30</f>
        <v>0</v>
      </c>
      <c r="K42" s="19">
        <f>[5]Tabelas_Consumos!I30</f>
        <v>0</v>
      </c>
      <c r="L42" s="19">
        <f>[5]Tabelas_Consumos!J30</f>
        <v>0</v>
      </c>
      <c r="M42" s="19">
        <f>[5]Tabelas_Consumos!K30</f>
        <v>0</v>
      </c>
      <c r="N42" s="19">
        <f>[5]Tabelas_Consumos!L30</f>
        <v>13345.566426463309</v>
      </c>
      <c r="O42" s="20">
        <f>[5]Tabelas_Consumos!M30</f>
        <v>39029.459269235645</v>
      </c>
      <c r="P42" s="30"/>
      <c r="Q42" s="54"/>
    </row>
    <row r="43" spans="1:17" x14ac:dyDescent="0.25">
      <c r="A43" s="44"/>
      <c r="B43" s="44"/>
      <c r="C43" s="45">
        <v>11</v>
      </c>
      <c r="D43" s="46">
        <f>[5]Tabelas_Consumos!B31</f>
        <v>65617.485752031207</v>
      </c>
      <c r="E43" s="19">
        <f>[5]Tabelas_Consumos!C31</f>
        <v>27117.697586190854</v>
      </c>
      <c r="F43" s="19">
        <f>[5]Tabelas_Consumos!D31</f>
        <v>14129.833724041237</v>
      </c>
      <c r="G43" s="19">
        <f>[5]Tabelas_Consumos!E31</f>
        <v>0</v>
      </c>
      <c r="H43" s="19">
        <f>[5]Tabelas_Consumos!F31</f>
        <v>0</v>
      </c>
      <c r="I43" s="19">
        <f>[5]Tabelas_Consumos!G31</f>
        <v>0</v>
      </c>
      <c r="J43" s="19">
        <f>[5]Tabelas_Consumos!H31</f>
        <v>0</v>
      </c>
      <c r="K43" s="19">
        <f>[5]Tabelas_Consumos!I31</f>
        <v>0</v>
      </c>
      <c r="L43" s="19">
        <f>[5]Tabelas_Consumos!J31</f>
        <v>0</v>
      </c>
      <c r="M43" s="19">
        <f>[5]Tabelas_Consumos!K31</f>
        <v>0</v>
      </c>
      <c r="N43" s="19">
        <f>[5]Tabelas_Consumos!L31</f>
        <v>30953.123001724205</v>
      </c>
      <c r="O43" s="20">
        <f>[5]Tabelas_Consumos!M31</f>
        <v>33342.519851368583</v>
      </c>
      <c r="P43" s="30"/>
      <c r="Q43" s="54"/>
    </row>
    <row r="44" spans="1:17" ht="15.75" thickBot="1" x14ac:dyDescent="0.3">
      <c r="A44" s="49"/>
      <c r="B44" s="49"/>
      <c r="C44" s="50">
        <v>12</v>
      </c>
      <c r="D44" s="51">
        <f>[3]Tabelas_Consumos!B31</f>
        <v>29826.638901618975</v>
      </c>
      <c r="E44" s="24">
        <f>[3]Tabelas_Consumos!C31</f>
        <v>62981.735460049516</v>
      </c>
      <c r="F44" s="24">
        <f>[3]Tabelas_Consumos!D31</f>
        <v>9521.7829494494545</v>
      </c>
      <c r="G44" s="24">
        <f>[3]Tabelas_Consumos!E31</f>
        <v>8285.48098593127</v>
      </c>
      <c r="H44" s="24">
        <f>[3]Tabelas_Consumos!F31</f>
        <v>1471.1097520812054</v>
      </c>
      <c r="I44" s="24">
        <f>[3]Tabelas_Consumos!G31</f>
        <v>0</v>
      </c>
      <c r="J44" s="24">
        <f>[3]Tabelas_Consumos!H31</f>
        <v>0</v>
      </c>
      <c r="K44" s="24">
        <f>[3]Tabelas_Consumos!I31</f>
        <v>0</v>
      </c>
      <c r="L44" s="24">
        <f>[3]Tabelas_Consumos!J31</f>
        <v>0</v>
      </c>
      <c r="M44" s="24">
        <f>[3]Tabelas_Consumos!K31</f>
        <v>1316.3492891218398</v>
      </c>
      <c r="N44" s="24">
        <f>[3]Tabelas_Consumos!L31</f>
        <v>15353</v>
      </c>
      <c r="O44" s="25">
        <f>[3]Tabelas_Consumos!M31</f>
        <v>30678.327523449421</v>
      </c>
      <c r="P44" s="30"/>
      <c r="Q44" s="54"/>
    </row>
    <row r="45" spans="1:1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7" ht="15.75" thickBo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7" ht="15.75" thickBot="1" x14ac:dyDescent="0.3">
      <c r="A47" s="3" t="s">
        <v>59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5"/>
      <c r="P47" s="1"/>
    </row>
    <row r="48" spans="1:17" ht="15.75" thickBot="1" x14ac:dyDescent="0.3">
      <c r="A48" s="6" t="s">
        <v>50</v>
      </c>
      <c r="B48" s="6" t="s">
        <v>51</v>
      </c>
      <c r="C48" s="6" t="s">
        <v>52</v>
      </c>
      <c r="D48" s="38" t="s">
        <v>24</v>
      </c>
      <c r="E48" s="7" t="s">
        <v>26</v>
      </c>
      <c r="F48" s="7" t="s">
        <v>28</v>
      </c>
      <c r="G48" s="8" t="s">
        <v>30</v>
      </c>
      <c r="H48" s="8" t="s">
        <v>32</v>
      </c>
      <c r="I48" s="8" t="s">
        <v>34</v>
      </c>
      <c r="J48" s="8" t="s">
        <v>36</v>
      </c>
      <c r="K48" s="8" t="s">
        <v>38</v>
      </c>
      <c r="L48" s="8" t="s">
        <v>40</v>
      </c>
      <c r="M48" s="8" t="s">
        <v>42</v>
      </c>
      <c r="N48" s="8" t="s">
        <v>44</v>
      </c>
      <c r="O48" s="9" t="s">
        <v>46</v>
      </c>
      <c r="P48" s="1"/>
    </row>
    <row r="49" spans="1:17" x14ac:dyDescent="0.25">
      <c r="A49" s="39" t="s">
        <v>60</v>
      </c>
      <c r="B49" s="39" t="s">
        <v>13</v>
      </c>
      <c r="C49" s="40" t="s">
        <v>54</v>
      </c>
      <c r="D49" s="41">
        <f>[1]Tabelas_Consumos!B16</f>
        <v>147825.55111411825</v>
      </c>
      <c r="E49" s="42">
        <f>[1]Tabelas_Consumos!C16</f>
        <v>115452.8698370107</v>
      </c>
      <c r="F49" s="42">
        <f>[1]Tabelas_Consumos!D16</f>
        <v>111903.14194991237</v>
      </c>
      <c r="G49" s="42">
        <f>[1]Tabelas_Consumos!E16</f>
        <v>95970.036511786719</v>
      </c>
      <c r="H49" s="42">
        <f>[1]Tabelas_Consumos!F16</f>
        <v>106536.42834000879</v>
      </c>
      <c r="I49" s="42">
        <f>[1]Tabelas_Consumos!G16</f>
        <v>125524.40926980792</v>
      </c>
      <c r="J49" s="42">
        <f>[1]Tabelas_Consumos!H16</f>
        <v>137624.54105597417</v>
      </c>
      <c r="K49" s="42">
        <f>[1]Tabelas_Consumos!I16</f>
        <v>150417.92678118157</v>
      </c>
      <c r="L49" s="42">
        <f>[1]Tabelas_Consumos!J16</f>
        <v>128665.57848618401</v>
      </c>
      <c r="M49" s="42">
        <f>[1]Tabelas_Consumos!K16</f>
        <v>127850.10291017215</v>
      </c>
      <c r="N49" s="42">
        <f>[1]Tabelas_Consumos!L16</f>
        <v>144501.4727832666</v>
      </c>
      <c r="O49" s="43">
        <f>[1]Tabelas_Consumos!M16</f>
        <v>162917.20865183364</v>
      </c>
      <c r="P49" s="1"/>
    </row>
    <row r="50" spans="1:17" x14ac:dyDescent="0.25">
      <c r="A50" s="44"/>
      <c r="B50" s="44"/>
      <c r="C50" s="45" t="s">
        <v>55</v>
      </c>
      <c r="D50" s="46">
        <f>[4]Tabelas_Consumos!B16</f>
        <v>168376.92508732941</v>
      </c>
      <c r="E50" s="47">
        <f>[4]Tabelas_Consumos!C16</f>
        <v>139221.38981472439</v>
      </c>
      <c r="F50" s="47">
        <f>[4]Tabelas_Consumos!D16</f>
        <v>132921.15613325813</v>
      </c>
      <c r="G50" s="47">
        <f>[4]Tabelas_Consumos!E16</f>
        <v>121844.24581486464</v>
      </c>
      <c r="H50" s="47">
        <f>[4]Tabelas_Consumos!F16</f>
        <v>132695.65366928131</v>
      </c>
      <c r="I50" s="47">
        <f>[4]Tabelas_Consumos!G16</f>
        <v>113789.0622277287</v>
      </c>
      <c r="J50" s="47">
        <f>[4]Tabelas_Consumos!H16</f>
        <v>128130.79070343323</v>
      </c>
      <c r="K50" s="47">
        <f>[4]Tabelas_Consumos!I16</f>
        <v>119879.01668668447</v>
      </c>
      <c r="L50" s="47">
        <f>[4]Tabelas_Consumos!J16</f>
        <v>114438.22967897165</v>
      </c>
      <c r="M50" s="47">
        <f>[4]Tabelas_Consumos!K16</f>
        <v>125483.54761291607</v>
      </c>
      <c r="N50" s="47">
        <f>[4]Tabelas_Consumos!L16</f>
        <v>132629.20821754538</v>
      </c>
      <c r="O50" s="48">
        <f>[4]Tabelas_Consumos!M16</f>
        <v>147920.08639782105</v>
      </c>
      <c r="P50" s="1"/>
    </row>
    <row r="51" spans="1:17" x14ac:dyDescent="0.25">
      <c r="A51" s="44"/>
      <c r="B51" s="44"/>
      <c r="C51" s="45" t="s">
        <v>56</v>
      </c>
      <c r="D51" s="46">
        <f>[4]Tabelas_Consumos!B17</f>
        <v>140087.10681812651</v>
      </c>
      <c r="E51" s="47">
        <f>[4]Tabelas_Consumos!C17</f>
        <v>116252.54445727274</v>
      </c>
      <c r="F51" s="47">
        <f>[4]Tabelas_Consumos!D17</f>
        <v>131337.83105237747</v>
      </c>
      <c r="G51" s="47">
        <f>[4]Tabelas_Consumos!E17</f>
        <v>125682.52263945162</v>
      </c>
      <c r="H51" s="47">
        <f>[4]Tabelas_Consumos!F17</f>
        <v>130760.56474299387</v>
      </c>
      <c r="I51" s="47">
        <f>[4]Tabelas_Consumos!G17</f>
        <v>131385.84123325071</v>
      </c>
      <c r="J51" s="47">
        <f>[4]Tabelas_Consumos!H17</f>
        <v>139434.38179434335</v>
      </c>
      <c r="K51" s="47">
        <f>[4]Tabelas_Consumos!I17</f>
        <v>141364.9790096065</v>
      </c>
      <c r="L51" s="47">
        <f>[4]Tabelas_Consumos!J17</f>
        <v>117901.30646513788</v>
      </c>
      <c r="M51" s="47">
        <f>[4]Tabelas_Consumos!K17</f>
        <v>133633.97852607348</v>
      </c>
      <c r="N51" s="47">
        <f>[4]Tabelas_Consumos!L17</f>
        <v>128275.30878648552</v>
      </c>
      <c r="O51" s="48">
        <f>[4]Tabelas_Consumos!M17</f>
        <v>141105.35433587138</v>
      </c>
      <c r="P51" s="55"/>
    </row>
    <row r="52" spans="1:17" x14ac:dyDescent="0.25">
      <c r="A52" s="44"/>
      <c r="B52" s="44"/>
      <c r="C52" s="45">
        <v>10</v>
      </c>
      <c r="D52" s="46">
        <f>[5]Tabelas_Consumos!B16</f>
        <v>146213.00855721527</v>
      </c>
      <c r="E52" s="47">
        <f>[5]Tabelas_Consumos!C16</f>
        <v>130767.8468795591</v>
      </c>
      <c r="F52" s="47">
        <f>[5]Tabelas_Consumos!D16</f>
        <v>144555.9320208868</v>
      </c>
      <c r="G52" s="47">
        <f>[5]Tabelas_Consumos!E16</f>
        <v>132991.55104399141</v>
      </c>
      <c r="H52" s="47">
        <f>[5]Tabelas_Consumos!F16</f>
        <v>131967.52580517324</v>
      </c>
      <c r="I52" s="47">
        <f>[5]Tabelas_Consumos!G16</f>
        <v>123843.23081077928</v>
      </c>
      <c r="J52" s="47">
        <f>[5]Tabelas_Consumos!H16</f>
        <v>127201.16788484556</v>
      </c>
      <c r="K52" s="47">
        <f>[5]Tabelas_Consumos!I16</f>
        <v>134825.0943754341</v>
      </c>
      <c r="L52" s="47">
        <f>[5]Tabelas_Consumos!J16</f>
        <v>128389.23173493684</v>
      </c>
      <c r="M52" s="47">
        <f>[5]Tabelas_Consumos!K16</f>
        <v>136916.0721547498</v>
      </c>
      <c r="N52" s="47">
        <f>[5]Tabelas_Consumos!L16</f>
        <v>123438.49333769016</v>
      </c>
      <c r="O52" s="48">
        <f>[5]Tabelas_Consumos!M16</f>
        <v>143244.22021197301</v>
      </c>
      <c r="P52" s="1"/>
    </row>
    <row r="53" spans="1:17" x14ac:dyDescent="0.25">
      <c r="A53" s="44"/>
      <c r="B53" s="44"/>
      <c r="C53" s="45">
        <v>11</v>
      </c>
      <c r="D53" s="46">
        <f>[3]Tabelas_Consumos!B16</f>
        <v>150015.95421679007</v>
      </c>
      <c r="E53" s="47">
        <f>[3]Tabelas_Consumos!C16</f>
        <v>129443.63808783038</v>
      </c>
      <c r="F53" s="47">
        <f>[3]Tabelas_Consumos!D16</f>
        <v>139735.14433080729</v>
      </c>
      <c r="G53" s="47">
        <f>[3]Tabelas_Consumos!E16</f>
        <v>128495.02133175053</v>
      </c>
      <c r="H53" s="47">
        <f>[3]Tabelas_Consumos!F16</f>
        <v>125640.05800207907</v>
      </c>
      <c r="I53" s="47">
        <f>[3]Tabelas_Consumos!G16</f>
        <v>115733.84071722592</v>
      </c>
      <c r="J53" s="47">
        <f>[3]Tabelas_Consumos!H16</f>
        <v>138841.00520921731</v>
      </c>
      <c r="K53" s="47">
        <f>[3]Tabelas_Consumos!I16</f>
        <v>131711.52810503606</v>
      </c>
      <c r="L53" s="47">
        <f>[3]Tabelas_Consumos!J16</f>
        <v>130233.22299183604</v>
      </c>
      <c r="M53" s="47">
        <f>[3]Tabelas_Consumos!K16</f>
        <v>128678.06952045469</v>
      </c>
      <c r="N53" s="47">
        <f>[3]Tabelas_Consumos!L16</f>
        <v>129225.61789198764</v>
      </c>
      <c r="O53" s="48">
        <f>[3]Tabelas_Consumos!M16</f>
        <v>134463.01604962884</v>
      </c>
      <c r="P53" s="1"/>
    </row>
    <row r="54" spans="1:17" ht="15.75" thickBot="1" x14ac:dyDescent="0.3">
      <c r="A54" s="44"/>
      <c r="B54" s="49"/>
      <c r="C54" s="50">
        <v>12</v>
      </c>
      <c r="D54" s="51">
        <f>[3]Tabelas_Consumos!B17</f>
        <v>133777.53196069587</v>
      </c>
      <c r="E54" s="52">
        <f>[3]Tabelas_Consumos!C17</f>
        <v>127949.45974578116</v>
      </c>
      <c r="F54" s="52">
        <f>[3]Tabelas_Consumos!D17</f>
        <v>159157.03824801941</v>
      </c>
      <c r="G54" s="52">
        <f>[3]Tabelas_Consumos!E17</f>
        <v>126542.34972613362</v>
      </c>
      <c r="H54" s="52">
        <f>[3]Tabelas_Consumos!F17</f>
        <v>123452.76761464005</v>
      </c>
      <c r="I54" s="52">
        <f>[3]Tabelas_Consumos!G17</f>
        <v>127052.67340196794</v>
      </c>
      <c r="J54" s="52">
        <f>[3]Tabelas_Consumos!H17</f>
        <v>127727.84481790484</v>
      </c>
      <c r="K54" s="52">
        <f>[3]Tabelas_Consumos!I17</f>
        <v>136852.02737624667</v>
      </c>
      <c r="L54" s="52">
        <f>[3]Tabelas_Consumos!J17</f>
        <v>134536.6344871365</v>
      </c>
      <c r="M54" s="52">
        <f>[3]Tabelas_Consumos!K17</f>
        <v>138139.03667900219</v>
      </c>
      <c r="N54" s="52">
        <f>[3]Tabelas_Consumos!L17</f>
        <v>155739.12646136878</v>
      </c>
      <c r="O54" s="53">
        <f>[3]Tabelas_Consumos!M17</f>
        <v>134925.27196460578</v>
      </c>
      <c r="P54" s="1"/>
    </row>
    <row r="55" spans="1:17" x14ac:dyDescent="0.25">
      <c r="A55" s="44"/>
      <c r="B55" s="39" t="s">
        <v>16</v>
      </c>
      <c r="C55" s="40" t="s">
        <v>54</v>
      </c>
      <c r="D55" s="41">
        <f>[1]Tabelas_Consumos!B35</f>
        <v>72680.782218930544</v>
      </c>
      <c r="E55" s="42">
        <f>[1]Tabelas_Consumos!C35</f>
        <v>66859.89554325903</v>
      </c>
      <c r="F55" s="42">
        <f>[1]Tabelas_Consumos!D35</f>
        <v>54634.771683628758</v>
      </c>
      <c r="G55" s="42">
        <f>[1]Tabelas_Consumos!E35</f>
        <v>39084.584638936954</v>
      </c>
      <c r="H55" s="42">
        <f>[1]Tabelas_Consumos!F35</f>
        <v>41790.44160560413</v>
      </c>
      <c r="I55" s="42">
        <f>[1]Tabelas_Consumos!G35</f>
        <v>70235.085773907442</v>
      </c>
      <c r="J55" s="42">
        <f>[1]Tabelas_Consumos!H35</f>
        <v>114834.3729481567</v>
      </c>
      <c r="K55" s="42">
        <f>[1]Tabelas_Consumos!I35</f>
        <v>119369.94055032027</v>
      </c>
      <c r="L55" s="42">
        <f>[1]Tabelas_Consumos!J35</f>
        <v>104330.85053452717</v>
      </c>
      <c r="M55" s="42">
        <f>[1]Tabelas_Consumos!K35</f>
        <v>75215.409542046851</v>
      </c>
      <c r="N55" s="42">
        <f>[1]Tabelas_Consumos!L35</f>
        <v>73249.546373437828</v>
      </c>
      <c r="O55" s="43">
        <f>[1]Tabelas_Consumos!M35</f>
        <v>74594.027071535369</v>
      </c>
      <c r="P55" s="1"/>
    </row>
    <row r="56" spans="1:17" x14ac:dyDescent="0.25">
      <c r="A56" s="44"/>
      <c r="B56" s="44"/>
      <c r="C56" s="45" t="s">
        <v>55</v>
      </c>
      <c r="D56" s="46">
        <f>[4]Tabelas_Consumos!B35</f>
        <v>82710.631760324919</v>
      </c>
      <c r="E56" s="19">
        <f>[4]Tabelas_Consumos!C35</f>
        <v>74461.075334167341</v>
      </c>
      <c r="F56" s="19">
        <f>[4]Tabelas_Consumos!D35</f>
        <v>73817.494341867408</v>
      </c>
      <c r="G56" s="19">
        <f>[4]Tabelas_Consumos!E35</f>
        <v>63096.926568178787</v>
      </c>
      <c r="H56" s="19">
        <f>[4]Tabelas_Consumos!F35</f>
        <v>72425.523100925318</v>
      </c>
      <c r="I56" s="19">
        <f>[4]Tabelas_Consumos!G35</f>
        <v>102106.58044409135</v>
      </c>
      <c r="J56" s="19">
        <f>[4]Tabelas_Consumos!H35</f>
        <v>128876.07660069615</v>
      </c>
      <c r="K56" s="19">
        <f>[4]Tabelas_Consumos!I35</f>
        <v>141651.24167574741</v>
      </c>
      <c r="L56" s="19">
        <f>[4]Tabelas_Consumos!J35</f>
        <v>119224.49004263975</v>
      </c>
      <c r="M56" s="19">
        <f>[4]Tabelas_Consumos!K35</f>
        <v>76913.517110882865</v>
      </c>
      <c r="N56" s="19">
        <f>[4]Tabelas_Consumos!L35</f>
        <v>67559.45749445603</v>
      </c>
      <c r="O56" s="20">
        <f>[4]Tabelas_Consumos!M35</f>
        <v>90290.406522406905</v>
      </c>
      <c r="P56" s="30"/>
      <c r="Q56" s="54"/>
    </row>
    <row r="57" spans="1:17" x14ac:dyDescent="0.25">
      <c r="A57" s="44"/>
      <c r="B57" s="44"/>
      <c r="C57" s="45" t="s">
        <v>56</v>
      </c>
      <c r="D57" s="46">
        <f>[4]Tabelas_Consumos!B36</f>
        <v>81538.180583226043</v>
      </c>
      <c r="E57" s="19">
        <f>[4]Tabelas_Consumos!C36</f>
        <v>67425.910865990096</v>
      </c>
      <c r="F57" s="19">
        <f>[4]Tabelas_Consumos!D36</f>
        <v>93748.208196884574</v>
      </c>
      <c r="G57" s="19">
        <f>[4]Tabelas_Consumos!E36</f>
        <v>85789.047513720405</v>
      </c>
      <c r="H57" s="19">
        <f>[4]Tabelas_Consumos!F36</f>
        <v>78924.601152306815</v>
      </c>
      <c r="I57" s="19">
        <f>[4]Tabelas_Consumos!G36</f>
        <v>116195.12179374056</v>
      </c>
      <c r="J57" s="19">
        <f>[4]Tabelas_Consumos!H36</f>
        <v>142398.80861637159</v>
      </c>
      <c r="K57" s="19">
        <f>[4]Tabelas_Consumos!I36</f>
        <v>132895.85290239714</v>
      </c>
      <c r="L57" s="19">
        <f>[4]Tabelas_Consumos!J36</f>
        <v>91919.900552149076</v>
      </c>
      <c r="M57" s="19">
        <f>[4]Tabelas_Consumos!K36</f>
        <v>100807.17516798031</v>
      </c>
      <c r="N57" s="19">
        <f>[4]Tabelas_Consumos!L36</f>
        <v>79895.463180285398</v>
      </c>
      <c r="O57" s="20">
        <f>[4]Tabelas_Consumos!M36</f>
        <v>90027.883668210663</v>
      </c>
      <c r="P57" s="27"/>
      <c r="Q57" s="54"/>
    </row>
    <row r="58" spans="1:17" x14ac:dyDescent="0.25">
      <c r="A58" s="44"/>
      <c r="B58" s="44"/>
      <c r="C58" s="45">
        <v>10</v>
      </c>
      <c r="D58" s="46">
        <f>[5]Tabelas_Consumos!B35</f>
        <v>87537.348146829783</v>
      </c>
      <c r="E58" s="19">
        <f>[5]Tabelas_Consumos!C35</f>
        <v>73717.073515535521</v>
      </c>
      <c r="F58" s="19">
        <f>[5]Tabelas_Consumos!D35</f>
        <v>101631.62716054257</v>
      </c>
      <c r="G58" s="19">
        <f>[5]Tabelas_Consumos!E35</f>
        <v>96368.344433453458</v>
      </c>
      <c r="H58" s="19">
        <f>[5]Tabelas_Consumos!F35</f>
        <v>99561.751812483199</v>
      </c>
      <c r="I58" s="19">
        <f>[5]Tabelas_Consumos!G35</f>
        <v>116555.6375987557</v>
      </c>
      <c r="J58" s="19">
        <f>[5]Tabelas_Consumos!H35</f>
        <v>161098.63375615171</v>
      </c>
      <c r="K58" s="19">
        <f>[5]Tabelas_Consumos!I35</f>
        <v>168555.70220596343</v>
      </c>
      <c r="L58" s="19">
        <f>[5]Tabelas_Consumos!J35</f>
        <v>113138.42343703382</v>
      </c>
      <c r="M58" s="19">
        <f>[5]Tabelas_Consumos!K35</f>
        <v>72605.788126513988</v>
      </c>
      <c r="N58" s="19">
        <f>[5]Tabelas_Consumos!L35</f>
        <v>62892.787302829252</v>
      </c>
      <c r="O58" s="20">
        <f>[5]Tabelas_Consumos!M35</f>
        <v>82432.988703297451</v>
      </c>
      <c r="P58" s="30"/>
      <c r="Q58" s="54"/>
    </row>
    <row r="59" spans="1:17" x14ac:dyDescent="0.25">
      <c r="A59" s="44"/>
      <c r="B59" s="44"/>
      <c r="C59" s="45">
        <v>11</v>
      </c>
      <c r="D59" s="46">
        <f>[3]Tabelas_Consumos!B35</f>
        <v>75261.80113976862</v>
      </c>
      <c r="E59" s="19">
        <f>[3]Tabelas_Consumos!C35</f>
        <v>53813.18689699204</v>
      </c>
      <c r="F59" s="19">
        <f>[3]Tabelas_Consumos!D35</f>
        <v>68765.723398249349</v>
      </c>
      <c r="G59" s="19">
        <f>[3]Tabelas_Consumos!E35</f>
        <v>72344.153473920334</v>
      </c>
      <c r="H59" s="19">
        <f>[3]Tabelas_Consumos!F35</f>
        <v>77765.692287899379</v>
      </c>
      <c r="I59" s="19">
        <f>[3]Tabelas_Consumos!G35</f>
        <v>81294.607802990897</v>
      </c>
      <c r="J59" s="19">
        <f>[3]Tabelas_Consumos!H35</f>
        <v>105431.35105604967</v>
      </c>
      <c r="K59" s="19">
        <f>[3]Tabelas_Consumos!I35</f>
        <v>89050.57669344313</v>
      </c>
      <c r="L59" s="19">
        <f>[3]Tabelas_Consumos!J35</f>
        <v>76112.226982569075</v>
      </c>
      <c r="M59" s="19">
        <f>[3]Tabelas_Consumos!K35</f>
        <v>61034.828464313527</v>
      </c>
      <c r="N59" s="19">
        <f>[3]Tabelas_Consumos!L35</f>
        <v>37597.62075932166</v>
      </c>
      <c r="O59" s="20">
        <f>[3]Tabelas_Consumos!M35</f>
        <v>28605.900352011638</v>
      </c>
      <c r="P59" s="30"/>
      <c r="Q59" s="54"/>
    </row>
    <row r="60" spans="1:17" ht="15.75" thickBot="1" x14ac:dyDescent="0.3">
      <c r="A60" s="44"/>
      <c r="B60" s="49"/>
      <c r="C60" s="50">
        <v>12</v>
      </c>
      <c r="D60" s="51">
        <f>[3]Tabelas_Consumos!B36</f>
        <v>33096.102576553181</v>
      </c>
      <c r="E60" s="24">
        <f>[3]Tabelas_Consumos!C36</f>
        <v>57494.130813979085</v>
      </c>
      <c r="F60" s="24">
        <f>[3]Tabelas_Consumos!D36</f>
        <v>79346.511025518266</v>
      </c>
      <c r="G60" s="24">
        <f>[3]Tabelas_Consumos!E36</f>
        <v>84157.079301883947</v>
      </c>
      <c r="H60" s="24">
        <f>[3]Tabelas_Consumos!F36</f>
        <v>128030.58759126261</v>
      </c>
      <c r="I60" s="24">
        <f>[3]Tabelas_Consumos!G36</f>
        <v>145470.15700288635</v>
      </c>
      <c r="J60" s="24">
        <f>[3]Tabelas_Consumos!H36</f>
        <v>153850.76893798754</v>
      </c>
      <c r="K60" s="24">
        <f>[3]Tabelas_Consumos!I36</f>
        <v>155124.03013527708</v>
      </c>
      <c r="L60" s="24">
        <f>[3]Tabelas_Consumos!J36</f>
        <v>159583.15679684366</v>
      </c>
      <c r="M60" s="24">
        <f>[3]Tabelas_Consumos!K36</f>
        <v>112365.37581356632</v>
      </c>
      <c r="N60" s="24">
        <f>[3]Tabelas_Consumos!L36</f>
        <v>89296.298693724122</v>
      </c>
      <c r="O60" s="25">
        <f>[3]Tabelas_Consumos!M36</f>
        <v>39503.335890452938</v>
      </c>
      <c r="P60" s="30"/>
      <c r="Q60" s="54"/>
    </row>
    <row r="61" spans="1:17" x14ac:dyDescent="0.25">
      <c r="A61" s="44"/>
      <c r="B61" s="39" t="s">
        <v>18</v>
      </c>
      <c r="C61" s="40" t="s">
        <v>54</v>
      </c>
      <c r="D61" s="41">
        <f>[1]Tabelas_Consumos!B37</f>
        <v>217210.02406967728</v>
      </c>
      <c r="E61" s="14">
        <f>[1]Tabelas_Consumos!C37</f>
        <v>178614.12836928578</v>
      </c>
      <c r="F61" s="14">
        <f>[1]Tabelas_Consumos!D37</f>
        <v>76935.093489080187</v>
      </c>
      <c r="G61" s="14">
        <f>[1]Tabelas_Consumos!E37</f>
        <v>18086.720773724825</v>
      </c>
      <c r="H61" s="14">
        <f>[1]Tabelas_Consumos!F37</f>
        <v>0</v>
      </c>
      <c r="I61" s="14">
        <f>[1]Tabelas_Consumos!G37</f>
        <v>0</v>
      </c>
      <c r="J61" s="14">
        <f>[1]Tabelas_Consumos!H37</f>
        <v>-8.8746591442031786E-2</v>
      </c>
      <c r="K61" s="14">
        <f>[1]Tabelas_Consumos!I37</f>
        <v>0</v>
      </c>
      <c r="L61" s="14">
        <f>[1]Tabelas_Consumos!J37</f>
        <v>0</v>
      </c>
      <c r="M61" s="14">
        <f>[1]Tabelas_Consumos!K37</f>
        <v>0</v>
      </c>
      <c r="N61" s="14">
        <f>[1]Tabelas_Consumos!L37</f>
        <v>47905.02581882228</v>
      </c>
      <c r="O61" s="15">
        <f>[1]Tabelas_Consumos!M37</f>
        <v>150270.17770346755</v>
      </c>
      <c r="P61" s="30"/>
      <c r="Q61" s="54"/>
    </row>
    <row r="62" spans="1:17" x14ac:dyDescent="0.25">
      <c r="A62" s="44"/>
      <c r="B62" s="44"/>
      <c r="C62" s="45" t="s">
        <v>55</v>
      </c>
      <c r="D62" s="46">
        <f>[1]Tabelas_Consumos!B38</f>
        <v>153066.16323704773</v>
      </c>
      <c r="E62" s="19">
        <f>[1]Tabelas_Consumos!C38</f>
        <v>120741.73466298138</v>
      </c>
      <c r="F62" s="19">
        <f>[1]Tabelas_Consumos!D38</f>
        <v>78126.933898869916</v>
      </c>
      <c r="G62" s="19">
        <f>[1]Tabelas_Consumos!E38</f>
        <v>9435.2762123677894</v>
      </c>
      <c r="H62" s="19">
        <f>[1]Tabelas_Consumos!F38</f>
        <v>0</v>
      </c>
      <c r="I62" s="19">
        <f>[1]Tabelas_Consumos!G38</f>
        <v>0</v>
      </c>
      <c r="J62" s="19">
        <f>[1]Tabelas_Consumos!H38</f>
        <v>0</v>
      </c>
      <c r="K62" s="19">
        <f>[1]Tabelas_Consumos!I38</f>
        <v>0</v>
      </c>
      <c r="L62" s="19">
        <f>[1]Tabelas_Consumos!J38</f>
        <v>0</v>
      </c>
      <c r="M62" s="19">
        <f>[1]Tabelas_Consumos!K38</f>
        <v>0</v>
      </c>
      <c r="N62" s="19">
        <f>[1]Tabelas_Consumos!L38</f>
        <v>91858.736523218278</v>
      </c>
      <c r="O62" s="20">
        <f>[1]Tabelas_Consumos!M38</f>
        <v>183578.15404298942</v>
      </c>
      <c r="P62" s="30"/>
      <c r="Q62" s="54"/>
    </row>
    <row r="63" spans="1:17" x14ac:dyDescent="0.25">
      <c r="A63" s="44"/>
      <c r="B63" s="44"/>
      <c r="C63" s="45" t="s">
        <v>56</v>
      </c>
      <c r="D63" s="46">
        <f>[4]Tabelas_Consumos!B38</f>
        <v>226545.46553327411</v>
      </c>
      <c r="E63" s="19">
        <f>[4]Tabelas_Consumos!C38</f>
        <v>147573.38022015718</v>
      </c>
      <c r="F63" s="19">
        <f>[4]Tabelas_Consumos!D38</f>
        <v>49131.64707028347</v>
      </c>
      <c r="G63" s="19">
        <f>[4]Tabelas_Consumos!E38</f>
        <v>7021.8405730390004</v>
      </c>
      <c r="H63" s="19">
        <f>[4]Tabelas_Consumos!F38</f>
        <v>0</v>
      </c>
      <c r="I63" s="19">
        <f>[4]Tabelas_Consumos!G38</f>
        <v>0</v>
      </c>
      <c r="J63" s="19">
        <f>[4]Tabelas_Consumos!H38</f>
        <v>0</v>
      </c>
      <c r="K63" s="19">
        <f>[4]Tabelas_Consumos!I38</f>
        <v>0</v>
      </c>
      <c r="L63" s="19">
        <f>[4]Tabelas_Consumos!J38</f>
        <v>0</v>
      </c>
      <c r="M63" s="19">
        <f>[4]Tabelas_Consumos!K38</f>
        <v>0</v>
      </c>
      <c r="N63" s="19">
        <f>[4]Tabelas_Consumos!L38</f>
        <v>35679.16117078274</v>
      </c>
      <c r="O63" s="20">
        <f>[4]Tabelas_Consumos!M38</f>
        <v>148805.59677716807</v>
      </c>
      <c r="P63" s="30"/>
      <c r="Q63" s="54"/>
    </row>
    <row r="64" spans="1:17" x14ac:dyDescent="0.25">
      <c r="A64" s="44"/>
      <c r="B64" s="44"/>
      <c r="C64" s="45">
        <v>10</v>
      </c>
      <c r="D64" s="46">
        <f>[5]Tabelas_Consumos!B37</f>
        <v>177403.63066994239</v>
      </c>
      <c r="E64" s="19">
        <f>[5]Tabelas_Consumos!C37</f>
        <v>173883.40008417214</v>
      </c>
      <c r="F64" s="19">
        <f>[5]Tabelas_Consumos!D37</f>
        <v>158428.39409871685</v>
      </c>
      <c r="G64" s="19">
        <f>[5]Tabelas_Consumos!E37</f>
        <v>16905.769992250735</v>
      </c>
      <c r="H64" s="19">
        <f>[5]Tabelas_Consumos!F37</f>
        <v>0</v>
      </c>
      <c r="I64" s="19">
        <f>[5]Tabelas_Consumos!G37</f>
        <v>0</v>
      </c>
      <c r="J64" s="19">
        <f>[5]Tabelas_Consumos!H37</f>
        <v>0</v>
      </c>
      <c r="K64" s="19">
        <f>[5]Tabelas_Consumos!I37</f>
        <v>0</v>
      </c>
      <c r="L64" s="19">
        <f>[5]Tabelas_Consumos!J37</f>
        <v>0</v>
      </c>
      <c r="M64" s="19">
        <f>[5]Tabelas_Consumos!K37</f>
        <v>0</v>
      </c>
      <c r="N64" s="19">
        <f>[5]Tabelas_Consumos!L37</f>
        <v>55386.367483866903</v>
      </c>
      <c r="O64" s="20">
        <f>[5]Tabelas_Consumos!M37</f>
        <v>184686.12577917159</v>
      </c>
      <c r="P64" s="30"/>
      <c r="Q64" s="54"/>
    </row>
    <row r="65" spans="1:17" x14ac:dyDescent="0.25">
      <c r="A65" s="44"/>
      <c r="B65" s="44"/>
      <c r="C65" s="45">
        <v>11</v>
      </c>
      <c r="D65" s="46">
        <f>[3]Tabelas_Consumos!B37</f>
        <v>175359.64063288199</v>
      </c>
      <c r="E65" s="19">
        <f>[3]Tabelas_Consumos!C37</f>
        <v>130098.56821283601</v>
      </c>
      <c r="F65" s="19">
        <f>[3]Tabelas_Consumos!D37</f>
        <v>74613.695928762827</v>
      </c>
      <c r="G65" s="19">
        <f>[3]Tabelas_Consumos!E37</f>
        <v>74613.695928762827</v>
      </c>
      <c r="H65" s="19">
        <f>[3]Tabelas_Consumos!F37</f>
        <v>0</v>
      </c>
      <c r="I65" s="19">
        <f>[3]Tabelas_Consumos!G37</f>
        <v>0</v>
      </c>
      <c r="J65" s="19">
        <f>[3]Tabelas_Consumos!H37</f>
        <v>0</v>
      </c>
      <c r="K65" s="19">
        <f>[3]Tabelas_Consumos!I37</f>
        <v>0</v>
      </c>
      <c r="L65" s="19">
        <f>[3]Tabelas_Consumos!J37</f>
        <v>0</v>
      </c>
      <c r="M65" s="19">
        <f>[3]Tabelas_Consumos!K37</f>
        <v>0</v>
      </c>
      <c r="N65" s="19">
        <f>[3]Tabelas_Consumos!L37</f>
        <v>64750.655483303737</v>
      </c>
      <c r="O65" s="20">
        <f>[3]Tabelas_Consumos!M37</f>
        <v>121437.37337088001</v>
      </c>
      <c r="P65" s="30"/>
      <c r="Q65" s="54"/>
    </row>
    <row r="66" spans="1:17" ht="15.75" thickBot="1" x14ac:dyDescent="0.3">
      <c r="A66" s="49"/>
      <c r="B66" s="49"/>
      <c r="C66" s="50">
        <v>12</v>
      </c>
      <c r="D66" s="51">
        <f>[3]Tabelas_Consumos!B38</f>
        <v>136786.75078460801</v>
      </c>
      <c r="E66" s="24">
        <f>[3]Tabelas_Consumos!C38</f>
        <v>231563.08568567244</v>
      </c>
      <c r="F66" s="24">
        <f>[3]Tabelas_Consumos!D38</f>
        <v>63574.141962700647</v>
      </c>
      <c r="G66" s="24">
        <f>[3]Tabelas_Consumos!E38</f>
        <v>37933.065713717588</v>
      </c>
      <c r="H66" s="24">
        <f>[3]Tabelas_Consumos!F38</f>
        <v>8672.016307139409</v>
      </c>
      <c r="I66" s="24">
        <f>[3]Tabelas_Consumos!G38</f>
        <v>0</v>
      </c>
      <c r="J66" s="24">
        <f>[3]Tabelas_Consumos!H38</f>
        <v>0</v>
      </c>
      <c r="K66" s="24">
        <f>[3]Tabelas_Consumos!I38</f>
        <v>0</v>
      </c>
      <c r="L66" s="24">
        <f>[3]Tabelas_Consumos!J38</f>
        <v>0</v>
      </c>
      <c r="M66" s="24">
        <f>[3]Tabelas_Consumos!K38</f>
        <v>11582.122297358012</v>
      </c>
      <c r="N66" s="24">
        <f>[3]Tabelas_Consumos!L38</f>
        <v>95050</v>
      </c>
      <c r="O66" s="25">
        <f>[3]Tabelas_Consumos!M38</f>
        <v>135612.40683544317</v>
      </c>
      <c r="P66" s="30"/>
      <c r="Q66" s="54"/>
    </row>
    <row r="67" spans="1:17" x14ac:dyDescent="0.25">
      <c r="A67" s="1"/>
      <c r="B67" s="1"/>
      <c r="C67" s="1"/>
      <c r="D67" s="1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54"/>
    </row>
    <row r="68" spans="1:17" x14ac:dyDescent="0.25">
      <c r="A68" s="1"/>
      <c r="B68" s="1"/>
      <c r="C68" s="1"/>
      <c r="D68" s="1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54"/>
    </row>
    <row r="69" spans="1:17" x14ac:dyDescent="0.25"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</row>
  </sheetData>
  <sheetProtection password="A926" sheet="1" formatCells="0" formatColumns="0" formatRows="0" insertColumns="0" insertRows="0" insertHyperlinks="0" deleteColumns="0" deleteRows="0" sort="0" autoFilter="0" pivotTables="0"/>
  <mergeCells count="15">
    <mergeCell ref="A49:A66"/>
    <mergeCell ref="B49:B54"/>
    <mergeCell ref="B55:B60"/>
    <mergeCell ref="B61:B66"/>
    <mergeCell ref="A3:O3"/>
    <mergeCell ref="A5:A22"/>
    <mergeCell ref="B5:B10"/>
    <mergeCell ref="B11:B16"/>
    <mergeCell ref="B17:B22"/>
    <mergeCell ref="A25:O25"/>
    <mergeCell ref="A27:A44"/>
    <mergeCell ref="B27:B32"/>
    <mergeCell ref="B33:B38"/>
    <mergeCell ref="B39:B44"/>
    <mergeCell ref="A47:O4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B1:BR224"/>
  <sheetViews>
    <sheetView zoomScaleNormal="100" workbookViewId="0">
      <selection activeCell="H8" sqref="H8"/>
    </sheetView>
  </sheetViews>
  <sheetFormatPr defaultRowHeight="15" x14ac:dyDescent="0.25"/>
  <cols>
    <col min="1" max="3" width="9.140625" style="2"/>
    <col min="4" max="4" width="9.140625" style="2" hidden="1" customWidth="1"/>
    <col min="5" max="5" width="14.7109375" style="2" bestFit="1" customWidth="1"/>
    <col min="6" max="6" width="9.28515625" style="2" bestFit="1" customWidth="1"/>
    <col min="7" max="7" width="12" style="2" hidden="1" customWidth="1"/>
    <col min="8" max="16" width="12" style="2" customWidth="1"/>
    <col min="17" max="17" width="10.140625" style="2" bestFit="1" customWidth="1"/>
    <col min="18" max="18" width="9.28515625" style="2" customWidth="1"/>
    <col min="19" max="19" width="9.28515625" style="2" bestFit="1" customWidth="1"/>
    <col min="20" max="20" width="9.140625" style="2"/>
    <col min="21" max="21" width="9.140625" style="59"/>
    <col min="22" max="25" width="9.140625" style="2"/>
    <col min="26" max="27" width="9.140625" style="2" customWidth="1"/>
    <col min="28" max="29" width="9.140625" style="2"/>
    <col min="30" max="30" width="9.140625" style="2" customWidth="1"/>
    <col min="31" max="31" width="11.7109375" style="2" bestFit="1" customWidth="1"/>
    <col min="32" max="32" width="9.140625" style="59"/>
    <col min="33" max="35" width="9.140625" style="2"/>
    <col min="36" max="36" width="11.7109375" style="2" bestFit="1" customWidth="1"/>
    <col min="37" max="43" width="9.140625" style="2"/>
    <col min="44" max="44" width="9.140625" style="59"/>
    <col min="45" max="48" width="9.140625" style="54"/>
    <col min="49" max="49" width="14.5703125" style="54" bestFit="1" customWidth="1"/>
    <col min="50" max="50" width="9.140625" style="54"/>
    <col min="51" max="62" width="9.140625" style="2"/>
    <col min="63" max="63" width="10.140625" style="2" bestFit="1" customWidth="1"/>
    <col min="64" max="64" width="9.85546875" style="2" bestFit="1" customWidth="1"/>
    <col min="65" max="69" width="9.140625" style="2"/>
    <col min="70" max="70" width="9.140625" style="59"/>
    <col min="71" max="16384" width="9.140625" style="2"/>
  </cols>
  <sheetData>
    <row r="1" spans="2:68" ht="15" customHeight="1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7"/>
      <c r="V1" s="56"/>
      <c r="W1" s="58" t="s">
        <v>0</v>
      </c>
      <c r="X1" s="58"/>
      <c r="Y1" s="58"/>
      <c r="Z1" s="58"/>
      <c r="AA1" s="58"/>
      <c r="AB1" s="58"/>
      <c r="AC1" s="58"/>
      <c r="AD1" s="58"/>
      <c r="AH1" s="60" t="s">
        <v>1</v>
      </c>
      <c r="AI1" s="60"/>
      <c r="AJ1" s="60"/>
      <c r="AK1" s="60"/>
      <c r="AL1" s="60"/>
      <c r="AM1" s="60"/>
      <c r="AN1" s="60"/>
      <c r="AO1" s="60"/>
      <c r="AP1" s="60"/>
      <c r="AT1" s="60" t="s">
        <v>2</v>
      </c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</row>
    <row r="2" spans="2:68" ht="15.75" customHeight="1" thickBot="1" x14ac:dyDescent="0.3">
      <c r="E2" s="61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W2" s="58"/>
      <c r="X2" s="58"/>
      <c r="Y2" s="58"/>
      <c r="Z2" s="58"/>
      <c r="AA2" s="58"/>
      <c r="AB2" s="58"/>
      <c r="AC2" s="58"/>
      <c r="AD2" s="58"/>
      <c r="AH2" s="60"/>
      <c r="AI2" s="60"/>
      <c r="AJ2" s="60"/>
      <c r="AK2" s="60"/>
      <c r="AL2" s="60"/>
      <c r="AM2" s="60"/>
      <c r="AN2" s="60"/>
      <c r="AO2" s="60"/>
      <c r="AP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</row>
    <row r="3" spans="2:68" ht="15.75" customHeight="1" thickBot="1" x14ac:dyDescent="0.3">
      <c r="B3" s="62" t="s">
        <v>3</v>
      </c>
      <c r="C3" s="62" t="s">
        <v>4</v>
      </c>
      <c r="D3" s="63" t="s">
        <v>5</v>
      </c>
      <c r="E3" s="64" t="s">
        <v>6</v>
      </c>
      <c r="F3" s="65" t="s">
        <v>7</v>
      </c>
      <c r="G3" s="63" t="s">
        <v>8</v>
      </c>
      <c r="H3" s="66" t="s">
        <v>9</v>
      </c>
      <c r="I3" s="67"/>
      <c r="J3" s="67"/>
      <c r="K3" s="67"/>
      <c r="L3" s="67"/>
      <c r="M3" s="67"/>
      <c r="N3" s="67"/>
      <c r="O3" s="67"/>
      <c r="P3" s="68"/>
      <c r="Q3" s="69" t="s">
        <v>10</v>
      </c>
      <c r="R3" s="64" t="s">
        <v>11</v>
      </c>
      <c r="S3" s="69" t="s">
        <v>12</v>
      </c>
      <c r="X3" s="70"/>
      <c r="Y3" s="70"/>
      <c r="Z3" s="70"/>
      <c r="AT3" s="62" t="s">
        <v>3</v>
      </c>
      <c r="AU3" s="62" t="s">
        <v>4</v>
      </c>
      <c r="AV3" s="69" t="s">
        <v>12</v>
      </c>
      <c r="AW3" s="64" t="s">
        <v>6</v>
      </c>
    </row>
    <row r="4" spans="2:68" ht="15.75" customHeight="1" thickBot="1" x14ac:dyDescent="0.3">
      <c r="B4" s="71"/>
      <c r="C4" s="71"/>
      <c r="D4" s="72"/>
      <c r="E4" s="73"/>
      <c r="F4" s="74"/>
      <c r="G4" s="75"/>
      <c r="H4" s="76" t="s">
        <v>13</v>
      </c>
      <c r="I4" s="77" t="s">
        <v>14</v>
      </c>
      <c r="J4" s="78" t="s">
        <v>15</v>
      </c>
      <c r="K4" s="79" t="s">
        <v>16</v>
      </c>
      <c r="L4" s="80" t="s">
        <v>14</v>
      </c>
      <c r="M4" s="81" t="s">
        <v>17</v>
      </c>
      <c r="N4" s="82" t="s">
        <v>18</v>
      </c>
      <c r="O4" s="83" t="s">
        <v>14</v>
      </c>
      <c r="P4" s="84" t="s">
        <v>19</v>
      </c>
      <c r="Q4" s="85"/>
      <c r="R4" s="73"/>
      <c r="S4" s="86"/>
      <c r="X4" s="1" t="s">
        <v>4</v>
      </c>
      <c r="Y4" s="87" t="s">
        <v>20</v>
      </c>
      <c r="Z4" s="1" t="s">
        <v>21</v>
      </c>
      <c r="AH4" s="1" t="s">
        <v>3</v>
      </c>
      <c r="AI4" s="1" t="s">
        <v>10</v>
      </c>
      <c r="AJ4" s="30" t="s">
        <v>22</v>
      </c>
      <c r="AT4" s="71"/>
      <c r="AU4" s="71"/>
      <c r="AV4" s="86"/>
      <c r="AW4" s="73"/>
    </row>
    <row r="5" spans="2:68" ht="15" customHeight="1" x14ac:dyDescent="0.25">
      <c r="B5" s="88">
        <v>2007</v>
      </c>
      <c r="C5" s="89" t="s">
        <v>23</v>
      </c>
      <c r="D5" s="90"/>
      <c r="E5" s="91">
        <v>440000</v>
      </c>
      <c r="F5" s="92">
        <v>24589.5</v>
      </c>
      <c r="G5" s="93">
        <f>D5/F5</f>
        <v>0</v>
      </c>
      <c r="H5" s="94">
        <f>'[6]Mensais 07-12 MOD''s'!D27</f>
        <v>74612.378619920055</v>
      </c>
      <c r="I5" s="95">
        <f>H5/E5</f>
        <v>0.16957358777254558</v>
      </c>
      <c r="J5" s="94">
        <f>H5/F5</f>
        <v>3.0343186571471588</v>
      </c>
      <c r="K5" s="96">
        <f>'[6]Mensais 07-12 MOD''s'!D$33</f>
        <v>42740.284891600473</v>
      </c>
      <c r="L5" s="97">
        <f>K5/E5</f>
        <v>9.7137011117273797E-2</v>
      </c>
      <c r="M5" s="96">
        <f t="shared" ref="M5:M68" si="0">K5/F5</f>
        <v>1.7381518490250096</v>
      </c>
      <c r="N5" s="98">
        <f>'[6]Mensais 07-12 MOD''s'!D$39</f>
        <v>70193.243036965825</v>
      </c>
      <c r="O5" s="99">
        <f>N5/E5</f>
        <v>0.15953009781128596</v>
      </c>
      <c r="P5" s="98">
        <f t="shared" ref="P5:P68" si="1">N5/F5</f>
        <v>2.8546022910984701</v>
      </c>
      <c r="Q5" s="92">
        <f>SUM(H5,K5,N5)</f>
        <v>187545.90654848635</v>
      </c>
      <c r="R5" s="91">
        <f>Q5/E5</f>
        <v>0.42624069670110537</v>
      </c>
      <c r="S5" s="100">
        <f t="shared" ref="S5:S68" si="2">Q5/F5</f>
        <v>7.627072797270638</v>
      </c>
      <c r="X5" s="30" t="s">
        <v>24</v>
      </c>
      <c r="Y5" s="101">
        <f>AVERAGE(R5,R17,R29,R41,R53,R65)</f>
        <v>0.35368311145088299</v>
      </c>
      <c r="Z5" s="101">
        <f>AVERAGE(S5,S17,S29,S41,S53,S65)</f>
        <v>6.1102542389728542</v>
      </c>
      <c r="AH5" s="1">
        <v>2007</v>
      </c>
      <c r="AI5" s="102">
        <f>SUM(S5:S16)</f>
        <v>73.37257812164782</v>
      </c>
      <c r="AJ5" s="101">
        <f>SUM(E5:E16)</f>
        <v>4784049.5999999996</v>
      </c>
      <c r="AT5" s="88">
        <v>2007</v>
      </c>
      <c r="AU5" s="89" t="s">
        <v>23</v>
      </c>
      <c r="AV5" s="103">
        <f t="shared" ref="AV5:AV68" si="3">S5</f>
        <v>7.627072797270638</v>
      </c>
      <c r="AW5" s="104">
        <f t="shared" ref="AW5:AW68" si="4">E5</f>
        <v>440000</v>
      </c>
    </row>
    <row r="6" spans="2:68" x14ac:dyDescent="0.25">
      <c r="B6" s="105"/>
      <c r="C6" s="106" t="s">
        <v>25</v>
      </c>
      <c r="D6" s="107">
        <f>[7]Folha1!$I$46</f>
        <v>0</v>
      </c>
      <c r="E6" s="108">
        <f>[7]Folha1!$Q$53</f>
        <v>401719.5</v>
      </c>
      <c r="F6" s="108">
        <f>[7]Folha1!$Q$56</f>
        <v>24579.5</v>
      </c>
      <c r="G6" s="107">
        <f t="shared" ref="G6:G69" si="5">D6/F6</f>
        <v>0</v>
      </c>
      <c r="H6" s="109">
        <f>'[6]Mensais 07-12 MOD''s'!E27</f>
        <v>62070.944341899114</v>
      </c>
      <c r="I6" s="110">
        <f>H6/E6</f>
        <v>0.1545131474620951</v>
      </c>
      <c r="J6" s="109">
        <f t="shared" ref="J6:J69" si="6">H6/F6</f>
        <v>2.5253135475456832</v>
      </c>
      <c r="K6" s="111">
        <f>'[6]Mensais 07-12 MOD''s'!E$33</f>
        <v>43199.442846197177</v>
      </c>
      <c r="L6" s="112">
        <f>K6/E6</f>
        <v>0.10753633529414723</v>
      </c>
      <c r="M6" s="111">
        <f t="shared" si="0"/>
        <v>1.7575395287209739</v>
      </c>
      <c r="N6" s="113">
        <f>'[6]Mensais 07-12 MOD''s'!E$39</f>
        <v>68605.983160592092</v>
      </c>
      <c r="O6" s="114">
        <f>N6/E6</f>
        <v>0.17078081387782293</v>
      </c>
      <c r="P6" s="113">
        <f t="shared" si="1"/>
        <v>2.7911870933335541</v>
      </c>
      <c r="Q6" s="108">
        <f>SUM(H6,K6,N6)</f>
        <v>173876.37034868839</v>
      </c>
      <c r="R6" s="108">
        <f t="shared" ref="R6:R69" si="7">Q6/E6</f>
        <v>0.4328302966340653</v>
      </c>
      <c r="S6" s="115">
        <f t="shared" si="2"/>
        <v>7.0740401696002113</v>
      </c>
      <c r="X6" s="1" t="s">
        <v>26</v>
      </c>
      <c r="Y6" s="101">
        <f t="shared" ref="Y6:Z16" si="8">AVERAGE(R6,R18,R30,R42,R54,R66)</f>
        <v>0.36180841921271628</v>
      </c>
      <c r="Z6" s="101">
        <f t="shared" si="8"/>
        <v>6.0268258445633522</v>
      </c>
      <c r="AF6" s="116"/>
      <c r="AG6" s="117"/>
      <c r="AH6" s="1">
        <v>2008</v>
      </c>
      <c r="AI6" s="102">
        <f>SUM(S17:S28)</f>
        <v>61.935693929060271</v>
      </c>
      <c r="AJ6" s="102">
        <f>SUM(E17:E28)</f>
        <v>4796568.5999999996</v>
      </c>
      <c r="AT6" s="105"/>
      <c r="AU6" s="106" t="s">
        <v>25</v>
      </c>
      <c r="AV6" s="118">
        <f t="shared" si="3"/>
        <v>7.0740401696002113</v>
      </c>
      <c r="AW6" s="115">
        <f t="shared" si="4"/>
        <v>401719.5</v>
      </c>
    </row>
    <row r="7" spans="2:68" x14ac:dyDescent="0.25">
      <c r="B7" s="105"/>
      <c r="C7" s="106" t="s">
        <v>27</v>
      </c>
      <c r="D7" s="107">
        <f>[8]Folha1!$I$46</f>
        <v>0</v>
      </c>
      <c r="E7" s="108">
        <f>[8]Folha1!$Q$53</f>
        <v>399087</v>
      </c>
      <c r="F7" s="108">
        <f>$F$6</f>
        <v>24579.5</v>
      </c>
      <c r="G7" s="107">
        <f t="shared" si="5"/>
        <v>0</v>
      </c>
      <c r="H7" s="109">
        <f>'[6]Mensais 07-12 MOD''s'!F27</f>
        <v>76254.627093261108</v>
      </c>
      <c r="I7" s="110">
        <f t="shared" ref="I7:I70" si="9">H7/E7</f>
        <v>0.19107269115070424</v>
      </c>
      <c r="J7" s="109">
        <f t="shared" si="6"/>
        <v>3.1023668949027079</v>
      </c>
      <c r="K7" s="111">
        <f>'[6]Mensais 07-12 MOD''s'!F$33</f>
        <v>55474.243932686113</v>
      </c>
      <c r="L7" s="112">
        <f t="shared" ref="L7:L70" si="10">K7/E7</f>
        <v>0.13900288391424956</v>
      </c>
      <c r="M7" s="111">
        <f t="shared" si="0"/>
        <v>2.2569313424880941</v>
      </c>
      <c r="N7" s="113">
        <f>'[6]Mensais 07-12 MOD''s'!F$39</f>
        <v>45648.066298143669</v>
      </c>
      <c r="O7" s="114">
        <f t="shared" ref="O7:O70" si="11">N7/E7</f>
        <v>0.11438124092777682</v>
      </c>
      <c r="P7" s="113">
        <f t="shared" si="1"/>
        <v>1.8571600845478415</v>
      </c>
      <c r="Q7" s="108">
        <f t="shared" ref="Q7:Q16" si="12">SUM(H7,K7,N7)</f>
        <v>177376.93732409089</v>
      </c>
      <c r="R7" s="108">
        <f t="shared" si="7"/>
        <v>0.44445681599273063</v>
      </c>
      <c r="S7" s="115">
        <f t="shared" si="2"/>
        <v>7.216458321938644</v>
      </c>
      <c r="X7" s="1" t="s">
        <v>28</v>
      </c>
      <c r="Y7" s="101">
        <f t="shared" si="8"/>
        <v>0.32189440527372054</v>
      </c>
      <c r="Z7" s="101">
        <f t="shared" si="8"/>
        <v>5.210073431077217</v>
      </c>
      <c r="AH7" s="1">
        <v>2009</v>
      </c>
      <c r="AI7" s="102">
        <f>SUM(S29:S40)</f>
        <v>58.097903439919961</v>
      </c>
      <c r="AJ7" s="102">
        <f>SUM(E29:E40)</f>
        <v>4767221.0999999996</v>
      </c>
      <c r="AT7" s="105"/>
      <c r="AU7" s="106" t="s">
        <v>27</v>
      </c>
      <c r="AV7" s="118">
        <f t="shared" si="3"/>
        <v>7.216458321938644</v>
      </c>
      <c r="AW7" s="115">
        <f t="shared" si="4"/>
        <v>399087</v>
      </c>
    </row>
    <row r="8" spans="2:68" x14ac:dyDescent="0.25">
      <c r="B8" s="105"/>
      <c r="C8" s="106" t="s">
        <v>29</v>
      </c>
      <c r="D8" s="107">
        <f>[9]Folha1!$I$46</f>
        <v>0</v>
      </c>
      <c r="E8" s="108">
        <f>[9]Folha1!$Q$53</f>
        <v>371710</v>
      </c>
      <c r="F8" s="108">
        <f>$F$6</f>
        <v>24579.5</v>
      </c>
      <c r="G8" s="107">
        <f t="shared" si="5"/>
        <v>0</v>
      </c>
      <c r="H8" s="109">
        <f>'[6]Mensais 07-12 MOD''s'!G27</f>
        <v>77374.024878975586</v>
      </c>
      <c r="I8" s="110">
        <f t="shared" si="9"/>
        <v>0.20815696343648432</v>
      </c>
      <c r="J8" s="109">
        <f t="shared" si="6"/>
        <v>3.1479088215372806</v>
      </c>
      <c r="K8" s="111">
        <f>'[6]Mensais 07-12 MOD''s'!G$33</f>
        <v>60030.104934027717</v>
      </c>
      <c r="L8" s="112">
        <f t="shared" si="10"/>
        <v>0.16149714813706309</v>
      </c>
      <c r="M8" s="111">
        <f t="shared" si="0"/>
        <v>2.4422834042200905</v>
      </c>
      <c r="N8" s="113">
        <f>'[6]Mensais 07-12 MOD''s'!G$39</f>
        <v>14912.128869917491</v>
      </c>
      <c r="O8" s="114">
        <f t="shared" si="11"/>
        <v>4.0117642436085905E-2</v>
      </c>
      <c r="P8" s="113">
        <f t="shared" si="1"/>
        <v>0.60668967513242711</v>
      </c>
      <c r="Q8" s="108">
        <f t="shared" si="12"/>
        <v>152316.25868292077</v>
      </c>
      <c r="R8" s="108">
        <f t="shared" si="7"/>
        <v>0.40977175400963323</v>
      </c>
      <c r="S8" s="115">
        <f t="shared" si="2"/>
        <v>6.1968819008897968</v>
      </c>
      <c r="X8" s="1" t="s">
        <v>30</v>
      </c>
      <c r="Y8" s="101">
        <f t="shared" si="8"/>
        <v>0.31109751239297073</v>
      </c>
      <c r="Z8" s="101">
        <f t="shared" si="8"/>
        <v>4.6332385048404419</v>
      </c>
      <c r="AH8" s="1">
        <v>2010</v>
      </c>
      <c r="AI8" s="102">
        <f>SUM(S41:S52)</f>
        <v>58.603390833966955</v>
      </c>
      <c r="AJ8" s="102">
        <f>SUM(E41:E52)</f>
        <v>4691935.5999999996</v>
      </c>
      <c r="AT8" s="105"/>
      <c r="AU8" s="106" t="s">
        <v>29</v>
      </c>
      <c r="AV8" s="118">
        <f t="shared" si="3"/>
        <v>6.1968819008897968</v>
      </c>
      <c r="AW8" s="115">
        <f t="shared" si="4"/>
        <v>371710</v>
      </c>
    </row>
    <row r="9" spans="2:68" x14ac:dyDescent="0.25">
      <c r="B9" s="105"/>
      <c r="C9" s="106" t="s">
        <v>31</v>
      </c>
      <c r="D9" s="107">
        <f>[10]Folha1!$I$46</f>
        <v>0</v>
      </c>
      <c r="E9" s="108">
        <f>[10]Folha1!$Q$53</f>
        <v>432621.5</v>
      </c>
      <c r="F9" s="108">
        <f t="shared" ref="F9:F29" si="13">$F$6</f>
        <v>24579.5</v>
      </c>
      <c r="G9" s="107">
        <f t="shared" si="5"/>
        <v>0</v>
      </c>
      <c r="H9" s="109">
        <f>'[6]Mensais 07-12 MOD''s'!H27</f>
        <v>80125.293967187812</v>
      </c>
      <c r="I9" s="110">
        <f t="shared" si="9"/>
        <v>0.18520876555415719</v>
      </c>
      <c r="J9" s="109">
        <f t="shared" si="6"/>
        <v>3.2598423062791273</v>
      </c>
      <c r="K9" s="111">
        <f>'[6]Mensais 07-12 MOD''s'!H$33</f>
        <v>66192.936459748133</v>
      </c>
      <c r="L9" s="112">
        <f>K9/E9</f>
        <v>0.15300426922783111</v>
      </c>
      <c r="M9" s="111">
        <f t="shared" si="0"/>
        <v>2.6930139530807433</v>
      </c>
      <c r="N9" s="113">
        <f>'[6]Mensais 07-12 MOD''s'!H$39</f>
        <v>0</v>
      </c>
      <c r="O9" s="114">
        <f t="shared" si="11"/>
        <v>0</v>
      </c>
      <c r="P9" s="113">
        <f t="shared" si="1"/>
        <v>0</v>
      </c>
      <c r="Q9" s="108">
        <f t="shared" si="12"/>
        <v>146318.23042693594</v>
      </c>
      <c r="R9" s="108">
        <f t="shared" si="7"/>
        <v>0.33821303478198828</v>
      </c>
      <c r="S9" s="115">
        <f t="shared" si="2"/>
        <v>5.9528562593598711</v>
      </c>
      <c r="X9" s="1" t="s">
        <v>32</v>
      </c>
      <c r="Y9" s="101">
        <f t="shared" si="8"/>
        <v>0.28041073689691515</v>
      </c>
      <c r="Z9" s="101">
        <f t="shared" si="8"/>
        <v>4.8869647529323172</v>
      </c>
      <c r="AH9" s="1">
        <v>2011</v>
      </c>
      <c r="AI9" s="102">
        <f>SUM(S53:S64)</f>
        <v>52.573533559176475</v>
      </c>
      <c r="AJ9" s="102">
        <f>SUM(E53:E64)</f>
        <v>4648012.0999999996</v>
      </c>
      <c r="AT9" s="105"/>
      <c r="AU9" s="106" t="s">
        <v>31</v>
      </c>
      <c r="AV9" s="118">
        <f t="shared" si="3"/>
        <v>5.9528562593598711</v>
      </c>
      <c r="AW9" s="115">
        <f t="shared" si="4"/>
        <v>432621.5</v>
      </c>
    </row>
    <row r="10" spans="2:68" x14ac:dyDescent="0.25">
      <c r="B10" s="105"/>
      <c r="C10" s="106" t="s">
        <v>33</v>
      </c>
      <c r="D10" s="107">
        <f>[11]Folha1!$I$46</f>
        <v>0</v>
      </c>
      <c r="E10" s="108">
        <f>[11]Folha1!$Q$53</f>
        <v>403715.60000000003</v>
      </c>
      <c r="F10" s="108">
        <f t="shared" si="13"/>
        <v>24579.5</v>
      </c>
      <c r="G10" s="107">
        <f t="shared" si="5"/>
        <v>0</v>
      </c>
      <c r="H10" s="109">
        <f>'[6]Mensais 07-12 MOD''s'!I27</f>
        <v>77597.722392733151</v>
      </c>
      <c r="I10" s="110">
        <f t="shared" si="9"/>
        <v>0.19220887771672224</v>
      </c>
      <c r="J10" s="109">
        <f t="shared" si="6"/>
        <v>3.1570098005546554</v>
      </c>
      <c r="K10" s="111">
        <f>'[6]Mensais 07-12 MOD''s'!I$33</f>
        <v>72113.458908221131</v>
      </c>
      <c r="L10" s="112">
        <f t="shared" si="10"/>
        <v>0.17862440517092013</v>
      </c>
      <c r="M10" s="111">
        <f t="shared" si="0"/>
        <v>2.9338863243036322</v>
      </c>
      <c r="N10" s="113">
        <f>'[6]Mensais 07-12 MOD''s'!I$39</f>
        <v>0</v>
      </c>
      <c r="O10" s="114">
        <f t="shared" si="11"/>
        <v>0</v>
      </c>
      <c r="P10" s="113">
        <f t="shared" si="1"/>
        <v>0</v>
      </c>
      <c r="Q10" s="108">
        <f t="shared" si="12"/>
        <v>149711.18130095428</v>
      </c>
      <c r="R10" s="108">
        <f t="shared" si="7"/>
        <v>0.37083328288764239</v>
      </c>
      <c r="S10" s="115">
        <f t="shared" si="2"/>
        <v>6.090896124858288</v>
      </c>
      <c r="X10" s="1" t="s">
        <v>34</v>
      </c>
      <c r="Y10" s="101">
        <f t="shared" si="8"/>
        <v>0.29423339919049396</v>
      </c>
      <c r="Z10" s="101">
        <f t="shared" si="8"/>
        <v>4.7521205838097558</v>
      </c>
      <c r="AH10" s="1">
        <v>2012</v>
      </c>
      <c r="AI10" s="102">
        <f>SUM(S65:S76)</f>
        <v>45.387422285802195</v>
      </c>
      <c r="AJ10" s="102">
        <f>SUM(E65:E76)</f>
        <v>4625704.0999999996</v>
      </c>
      <c r="AT10" s="105"/>
      <c r="AU10" s="106" t="s">
        <v>33</v>
      </c>
      <c r="AV10" s="118">
        <f t="shared" si="3"/>
        <v>6.090896124858288</v>
      </c>
      <c r="AW10" s="115">
        <f t="shared" si="4"/>
        <v>403715.60000000003</v>
      </c>
    </row>
    <row r="11" spans="2:68" x14ac:dyDescent="0.25">
      <c r="B11" s="105"/>
      <c r="C11" s="106" t="s">
        <v>35</v>
      </c>
      <c r="D11" s="107">
        <f>[12]Folha1!$I$46</f>
        <v>0</v>
      </c>
      <c r="E11" s="108">
        <f>[12]Folha1!$Q$53</f>
        <v>402295.5</v>
      </c>
      <c r="F11" s="108">
        <f t="shared" si="13"/>
        <v>24579.5</v>
      </c>
      <c r="G11" s="107">
        <f t="shared" si="5"/>
        <v>0</v>
      </c>
      <c r="H11" s="109">
        <f>'[6]Mensais 07-12 MOD''s'!J27</f>
        <v>74244.399297931712</v>
      </c>
      <c r="I11" s="110">
        <f t="shared" si="9"/>
        <v>0.18455190102283447</v>
      </c>
      <c r="J11" s="109">
        <f t="shared" si="6"/>
        <v>3.0205821639143071</v>
      </c>
      <c r="K11" s="111">
        <f>'[6]Mensais 07-12 MOD''s'!J$33</f>
        <v>80862.098753881903</v>
      </c>
      <c r="L11" s="112">
        <f t="shared" si="10"/>
        <v>0.20100174810277993</v>
      </c>
      <c r="M11" s="111">
        <f t="shared" si="0"/>
        <v>3.2898187007010682</v>
      </c>
      <c r="N11" s="113">
        <f>'[6]Mensais 07-12 MOD''s'!J$39</f>
        <v>0.2422477154104854</v>
      </c>
      <c r="O11" s="114">
        <f t="shared" si="11"/>
        <v>6.0216362204023014E-7</v>
      </c>
      <c r="P11" s="113">
        <f t="shared" si="1"/>
        <v>9.8556811737620947E-6</v>
      </c>
      <c r="Q11" s="108">
        <f t="shared" si="12"/>
        <v>155106.74029952905</v>
      </c>
      <c r="R11" s="108">
        <f t="shared" si="7"/>
        <v>0.38555425128923654</v>
      </c>
      <c r="S11" s="115">
        <f t="shared" si="2"/>
        <v>6.3104107202965496</v>
      </c>
      <c r="X11" s="1" t="s">
        <v>36</v>
      </c>
      <c r="Y11" s="101">
        <f t="shared" si="8"/>
        <v>0.28390859807283747</v>
      </c>
      <c r="Z11" s="101">
        <f t="shared" si="8"/>
        <v>4.5455191144671447</v>
      </c>
      <c r="AT11" s="105"/>
      <c r="AU11" s="106" t="s">
        <v>35</v>
      </c>
      <c r="AV11" s="118">
        <f t="shared" si="3"/>
        <v>6.3104107202965496</v>
      </c>
      <c r="AW11" s="115">
        <f t="shared" si="4"/>
        <v>402295.5</v>
      </c>
    </row>
    <row r="12" spans="2:68" x14ac:dyDescent="0.25">
      <c r="B12" s="105"/>
      <c r="C12" s="106" t="s">
        <v>37</v>
      </c>
      <c r="D12" s="107">
        <f>[13]Folha1!$I$46</f>
        <v>0</v>
      </c>
      <c r="E12" s="108">
        <f>[13]Folha1!$Q$53</f>
        <v>295417.5</v>
      </c>
      <c r="F12" s="108">
        <f t="shared" si="13"/>
        <v>24579.5</v>
      </c>
      <c r="G12" s="107">
        <f t="shared" si="5"/>
        <v>0</v>
      </c>
      <c r="H12" s="109">
        <f>'[6]Mensais 07-12 MOD''s'!K27</f>
        <v>50247.200595004797</v>
      </c>
      <c r="I12" s="110">
        <f t="shared" si="9"/>
        <v>0.17008877468330344</v>
      </c>
      <c r="J12" s="109">
        <f t="shared" si="6"/>
        <v>2.0442726904536217</v>
      </c>
      <c r="K12" s="111">
        <f>'[6]Mensais 07-12 MOD''s'!K$33</f>
        <v>42122.560202870998</v>
      </c>
      <c r="L12" s="112">
        <f t="shared" si="10"/>
        <v>0.1425865434609358</v>
      </c>
      <c r="M12" s="111">
        <f t="shared" si="0"/>
        <v>1.7137273013230945</v>
      </c>
      <c r="N12" s="113">
        <f>'[6]Mensais 07-12 MOD''s'!K$39</f>
        <v>0</v>
      </c>
      <c r="O12" s="114">
        <f t="shared" si="11"/>
        <v>0</v>
      </c>
      <c r="P12" s="113">
        <f t="shared" si="1"/>
        <v>0</v>
      </c>
      <c r="Q12" s="108">
        <f t="shared" si="12"/>
        <v>92369.760797875788</v>
      </c>
      <c r="R12" s="108">
        <f t="shared" si="7"/>
        <v>0.31267531814423921</v>
      </c>
      <c r="S12" s="115">
        <f t="shared" si="2"/>
        <v>3.7579999917767157</v>
      </c>
      <c r="X12" s="1" t="s">
        <v>38</v>
      </c>
      <c r="Y12" s="101">
        <f t="shared" si="8"/>
        <v>0.27333856781171739</v>
      </c>
      <c r="Z12" s="101">
        <f t="shared" si="8"/>
        <v>3.2757104297934347</v>
      </c>
      <c r="AT12" s="105"/>
      <c r="AU12" s="106" t="s">
        <v>37</v>
      </c>
      <c r="AV12" s="118">
        <f t="shared" si="3"/>
        <v>3.7579999917767157</v>
      </c>
      <c r="AW12" s="115">
        <f t="shared" si="4"/>
        <v>295417.5</v>
      </c>
    </row>
    <row r="13" spans="2:68" x14ac:dyDescent="0.25">
      <c r="B13" s="105"/>
      <c r="C13" s="106" t="s">
        <v>39</v>
      </c>
      <c r="D13" s="107">
        <f>[14]Folha1!$I$46</f>
        <v>0</v>
      </c>
      <c r="E13" s="108">
        <f>[14]Folha1!$Q$53</f>
        <v>374518.5</v>
      </c>
      <c r="F13" s="108">
        <f t="shared" si="13"/>
        <v>24579.5</v>
      </c>
      <c r="G13" s="107">
        <f t="shared" si="5"/>
        <v>0</v>
      </c>
      <c r="H13" s="109">
        <f>'[6]Mensais 07-12 MOD''s'!L27</f>
        <v>70424.543801156789</v>
      </c>
      <c r="I13" s="110">
        <f t="shared" si="9"/>
        <v>0.18804022712137528</v>
      </c>
      <c r="J13" s="109">
        <f t="shared" si="6"/>
        <v>2.8651739783623258</v>
      </c>
      <c r="K13" s="111">
        <f>'[6]Mensais 07-12 MOD''s'!L$33</f>
        <v>69240.753963237308</v>
      </c>
      <c r="L13" s="112">
        <f t="shared" si="10"/>
        <v>0.18487939571272796</v>
      </c>
      <c r="M13" s="111">
        <f t="shared" si="0"/>
        <v>2.8170123055081393</v>
      </c>
      <c r="N13" s="113">
        <f>'[6]Mensais 07-12 MOD''s'!L$39</f>
        <v>0</v>
      </c>
      <c r="O13" s="114">
        <f t="shared" si="11"/>
        <v>0</v>
      </c>
      <c r="P13" s="113">
        <f t="shared" si="1"/>
        <v>0</v>
      </c>
      <c r="Q13" s="108">
        <f t="shared" si="12"/>
        <v>139665.29776439408</v>
      </c>
      <c r="R13" s="108">
        <f t="shared" si="7"/>
        <v>0.37291962283410324</v>
      </c>
      <c r="S13" s="115">
        <f t="shared" si="2"/>
        <v>5.6821862838704646</v>
      </c>
      <c r="X13" s="1" t="s">
        <v>40</v>
      </c>
      <c r="Y13" s="101">
        <f t="shared" si="8"/>
        <v>0.30242685034586009</v>
      </c>
      <c r="Z13" s="101">
        <f t="shared" si="8"/>
        <v>4.6074174876791831</v>
      </c>
      <c r="AT13" s="105"/>
      <c r="AU13" s="106" t="s">
        <v>39</v>
      </c>
      <c r="AV13" s="118">
        <f t="shared" si="3"/>
        <v>5.6821862838704646</v>
      </c>
      <c r="AW13" s="115">
        <f t="shared" si="4"/>
        <v>374518.5</v>
      </c>
    </row>
    <row r="14" spans="2:68" x14ac:dyDescent="0.25">
      <c r="B14" s="105"/>
      <c r="C14" s="106" t="s">
        <v>41</v>
      </c>
      <c r="D14" s="107">
        <f>[15]Folha1!$I$46</f>
        <v>0</v>
      </c>
      <c r="E14" s="108">
        <f>[15]Folha1!$Q$53</f>
        <v>424067.49999999994</v>
      </c>
      <c r="F14" s="108">
        <f t="shared" si="13"/>
        <v>24579.5</v>
      </c>
      <c r="G14" s="107">
        <f t="shared" si="5"/>
        <v>0</v>
      </c>
      <c r="H14" s="109">
        <f>'[6]Mensais 07-12 MOD''s'!M27</f>
        <v>72477.613337040777</v>
      </c>
      <c r="I14" s="110">
        <f t="shared" si="9"/>
        <v>0.17091055866587462</v>
      </c>
      <c r="J14" s="109">
        <f t="shared" si="6"/>
        <v>2.9487016960084937</v>
      </c>
      <c r="K14" s="111">
        <f>'[6]Mensais 07-12 MOD''s'!M$33</f>
        <v>65804.801699017698</v>
      </c>
      <c r="L14" s="112">
        <f t="shared" si="10"/>
        <v>0.15517530039207841</v>
      </c>
      <c r="M14" s="111">
        <f t="shared" si="0"/>
        <v>2.6772229581162228</v>
      </c>
      <c r="N14" s="113">
        <f>'[6]Mensais 07-12 MOD''s'!M$39</f>
        <v>0</v>
      </c>
      <c r="O14" s="114">
        <f t="shared" si="11"/>
        <v>0</v>
      </c>
      <c r="P14" s="113">
        <f t="shared" si="1"/>
        <v>0</v>
      </c>
      <c r="Q14" s="108">
        <f t="shared" si="12"/>
        <v>138282.41503605846</v>
      </c>
      <c r="R14" s="108">
        <f t="shared" si="7"/>
        <v>0.32608585905795301</v>
      </c>
      <c r="S14" s="115">
        <f t="shared" si="2"/>
        <v>5.6259246541247165</v>
      </c>
      <c r="X14" s="1" t="s">
        <v>42</v>
      </c>
      <c r="Y14" s="101">
        <f t="shared" si="8"/>
        <v>0.26176513761877657</v>
      </c>
      <c r="Z14" s="101">
        <f t="shared" si="8"/>
        <v>4.464123126652102</v>
      </c>
      <c r="AT14" s="105"/>
      <c r="AU14" s="106" t="s">
        <v>41</v>
      </c>
      <c r="AV14" s="118">
        <f t="shared" si="3"/>
        <v>5.6259246541247165</v>
      </c>
      <c r="AW14" s="115">
        <f t="shared" si="4"/>
        <v>424067.49999999994</v>
      </c>
    </row>
    <row r="15" spans="2:68" x14ac:dyDescent="0.25">
      <c r="B15" s="105"/>
      <c r="C15" s="106" t="s">
        <v>43</v>
      </c>
      <c r="D15" s="107">
        <f>[16]Folha1!$I$46</f>
        <v>0</v>
      </c>
      <c r="E15" s="108">
        <f>[16]Folha1!$Q$53</f>
        <v>425837.5</v>
      </c>
      <c r="F15" s="108">
        <f t="shared" si="13"/>
        <v>24579.5</v>
      </c>
      <c r="G15" s="107">
        <f t="shared" si="5"/>
        <v>0</v>
      </c>
      <c r="H15" s="109">
        <f>'[6]Mensais 07-12 MOD''s'!N$27</f>
        <v>61001.880284800412</v>
      </c>
      <c r="I15" s="110">
        <f t="shared" si="9"/>
        <v>0.14325154615270005</v>
      </c>
      <c r="J15" s="109">
        <f t="shared" si="6"/>
        <v>2.4818194139343932</v>
      </c>
      <c r="K15" s="111">
        <f>'[6]Mensais 07-12 MOD''s'!N$33</f>
        <v>52173.648057173465</v>
      </c>
      <c r="L15" s="112">
        <f t="shared" si="10"/>
        <v>0.12252008819602188</v>
      </c>
      <c r="M15" s="111">
        <f t="shared" si="0"/>
        <v>2.1226488763877809</v>
      </c>
      <c r="N15" s="113">
        <f>'[6]Mensais 07-12 MOD''s'!N$39</f>
        <v>18774.100705996192</v>
      </c>
      <c r="O15" s="114">
        <f t="shared" si="11"/>
        <v>4.4087476340144288E-2</v>
      </c>
      <c r="P15" s="113">
        <f t="shared" si="1"/>
        <v>0.76381133489274367</v>
      </c>
      <c r="Q15" s="108">
        <f t="shared" si="12"/>
        <v>131949.62904797005</v>
      </c>
      <c r="R15" s="108">
        <f t="shared" si="7"/>
        <v>0.30985911068886618</v>
      </c>
      <c r="S15" s="115">
        <f t="shared" si="2"/>
        <v>5.3682796252149174</v>
      </c>
      <c r="X15" s="1" t="s">
        <v>44</v>
      </c>
      <c r="Y15" s="101">
        <f t="shared" si="8"/>
        <v>0.2678236211308736</v>
      </c>
      <c r="Z15" s="101">
        <f t="shared" si="8"/>
        <v>4.5892181343555896</v>
      </c>
      <c r="AT15" s="105"/>
      <c r="AU15" s="106" t="s">
        <v>43</v>
      </c>
      <c r="AV15" s="118">
        <f t="shared" si="3"/>
        <v>5.3682796252149174</v>
      </c>
      <c r="AW15" s="115">
        <f t="shared" si="4"/>
        <v>425837.5</v>
      </c>
    </row>
    <row r="16" spans="2:68" ht="15.75" thickBot="1" x14ac:dyDescent="0.3">
      <c r="B16" s="119"/>
      <c r="C16" s="120" t="s">
        <v>45</v>
      </c>
      <c r="D16" s="121">
        <f>[17]Folha1!$I$46</f>
        <v>0</v>
      </c>
      <c r="E16" s="122">
        <f>[17]Folha1!$Q$53</f>
        <v>413059.5</v>
      </c>
      <c r="F16" s="122">
        <f t="shared" si="13"/>
        <v>24579.5</v>
      </c>
      <c r="G16" s="121">
        <f t="shared" si="5"/>
        <v>0</v>
      </c>
      <c r="H16" s="123">
        <f>'[6]Mensais 07-12 MOD''s'!O27</f>
        <v>62085.697603131717</v>
      </c>
      <c r="I16" s="124">
        <f t="shared" si="9"/>
        <v>0.15030691123949871</v>
      </c>
      <c r="J16" s="123">
        <f t="shared" si="6"/>
        <v>2.5259137738005948</v>
      </c>
      <c r="K16" s="125">
        <f>'[6]Mensais 07-12 MOD''s'!O$33</f>
        <v>48115.817745486362</v>
      </c>
      <c r="L16" s="126">
        <f t="shared" si="10"/>
        <v>0.1164864087267969</v>
      </c>
      <c r="M16" s="125">
        <f t="shared" si="0"/>
        <v>1.9575588496709193</v>
      </c>
      <c r="N16" s="127">
        <f>'[6]Mensais 07-12 MOD''s'!O$39</f>
        <v>48817.311742493141</v>
      </c>
      <c r="O16" s="128">
        <f t="shared" si="11"/>
        <v>0.11818469673858885</v>
      </c>
      <c r="P16" s="127">
        <f t="shared" si="1"/>
        <v>1.9860986489754935</v>
      </c>
      <c r="Q16" s="108">
        <f t="shared" si="12"/>
        <v>159018.82709111122</v>
      </c>
      <c r="R16" s="122">
        <f t="shared" si="7"/>
        <v>0.38497801670488446</v>
      </c>
      <c r="S16" s="129">
        <f t="shared" si="2"/>
        <v>6.4695712724470074</v>
      </c>
      <c r="X16" s="1" t="s">
        <v>46</v>
      </c>
      <c r="Y16" s="101">
        <f t="shared" si="8"/>
        <v>0.31754165608835738</v>
      </c>
      <c r="Z16" s="101">
        <f t="shared" si="8"/>
        <v>5.22695471245222</v>
      </c>
      <c r="AT16" s="119"/>
      <c r="AU16" s="120" t="s">
        <v>45</v>
      </c>
      <c r="AV16" s="130">
        <f t="shared" si="3"/>
        <v>6.4695712724470074</v>
      </c>
      <c r="AW16" s="129">
        <f t="shared" si="4"/>
        <v>413059.5</v>
      </c>
    </row>
    <row r="17" spans="2:64" ht="15" customHeight="1" x14ac:dyDescent="0.25">
      <c r="B17" s="88">
        <v>2008</v>
      </c>
      <c r="C17" s="131" t="s">
        <v>23</v>
      </c>
      <c r="D17" s="93">
        <f>[18]Folha1!$I$46</f>
        <v>0</v>
      </c>
      <c r="E17" s="132">
        <f>[18]Folha1!$Q$53</f>
        <v>418768.5</v>
      </c>
      <c r="F17" s="132">
        <f t="shared" si="13"/>
        <v>24579.5</v>
      </c>
      <c r="G17" s="93">
        <f t="shared" si="5"/>
        <v>0</v>
      </c>
      <c r="H17" s="94">
        <f>'[6]Mensais 07-12 MOD''s'!D$28</f>
        <v>59574.634085971629</v>
      </c>
      <c r="I17" s="133">
        <f t="shared" si="9"/>
        <v>0.14226149790629342</v>
      </c>
      <c r="J17" s="94">
        <f t="shared" si="6"/>
        <v>2.4237528869981744</v>
      </c>
      <c r="K17" s="96">
        <f>'[6]Mensais 07-12 MOD''s'!D$34</f>
        <v>47171.94374566467</v>
      </c>
      <c r="L17" s="134">
        <f t="shared" si="10"/>
        <v>0.11264444136955065</v>
      </c>
      <c r="M17" s="96">
        <f t="shared" si="0"/>
        <v>1.9191579871707996</v>
      </c>
      <c r="N17" s="98">
        <f>'[6]Mensais 07-12 MOD''s'!D$40</f>
        <v>44112.814714775188</v>
      </c>
      <c r="O17" s="135">
        <f t="shared" si="11"/>
        <v>0.1053393813402278</v>
      </c>
      <c r="P17" s="98">
        <f t="shared" si="1"/>
        <v>1.7946994330549926</v>
      </c>
      <c r="Q17" s="132">
        <f>SUM(H17,K17,N17)</f>
        <v>150859.39254641149</v>
      </c>
      <c r="R17" s="132">
        <f t="shared" si="7"/>
        <v>0.36024532061607184</v>
      </c>
      <c r="S17" s="104">
        <f t="shared" si="2"/>
        <v>6.1376103072239667</v>
      </c>
      <c r="X17" s="1"/>
      <c r="Y17" s="101"/>
      <c r="Z17" s="101"/>
      <c r="AT17" s="88">
        <v>2008</v>
      </c>
      <c r="AU17" s="131" t="s">
        <v>23</v>
      </c>
      <c r="AV17" s="103">
        <f t="shared" si="3"/>
        <v>6.1376103072239667</v>
      </c>
      <c r="AW17" s="104">
        <f t="shared" si="4"/>
        <v>418768.5</v>
      </c>
    </row>
    <row r="18" spans="2:64" x14ac:dyDescent="0.25">
      <c r="B18" s="105"/>
      <c r="C18" s="106" t="s">
        <v>25</v>
      </c>
      <c r="D18" s="107">
        <f>[19]Folha1!$I$46</f>
        <v>0</v>
      </c>
      <c r="E18" s="108">
        <f>[19]Folha1!$Q$53</f>
        <v>415552.5</v>
      </c>
      <c r="F18" s="108">
        <f t="shared" si="13"/>
        <v>24579.5</v>
      </c>
      <c r="G18" s="107">
        <f t="shared" si="5"/>
        <v>0</v>
      </c>
      <c r="H18" s="109">
        <f>'[6]Mensais 07-12 MOD''s'!E$28</f>
        <v>59592.909750775529</v>
      </c>
      <c r="I18" s="110">
        <f t="shared" si="9"/>
        <v>0.14340645225519166</v>
      </c>
      <c r="J18" s="109">
        <f t="shared" si="6"/>
        <v>2.4244964198122636</v>
      </c>
      <c r="K18" s="111">
        <f>'[6]Mensais 07-12 MOD''s'!E$34</f>
        <v>49918.092992897764</v>
      </c>
      <c r="L18" s="112">
        <f t="shared" si="10"/>
        <v>0.12012463646085095</v>
      </c>
      <c r="M18" s="111">
        <f t="shared" si="0"/>
        <v>2.0308831747146101</v>
      </c>
      <c r="N18" s="113">
        <f>'[6]Mensais 07-12 MOD''s'!E$40</f>
        <v>42680.17097951311</v>
      </c>
      <c r="O18" s="114">
        <f t="shared" si="11"/>
        <v>0.10270704899985708</v>
      </c>
      <c r="P18" s="113">
        <f t="shared" si="1"/>
        <v>1.7364133110727684</v>
      </c>
      <c r="Q18" s="108">
        <f>SUM(H18,K18,N18)</f>
        <v>152191.1737231864</v>
      </c>
      <c r="R18" s="108">
        <f t="shared" si="7"/>
        <v>0.36623813771589969</v>
      </c>
      <c r="S18" s="115">
        <f t="shared" si="2"/>
        <v>6.1917929055996419</v>
      </c>
      <c r="AT18" s="105"/>
      <c r="AU18" s="106" t="s">
        <v>25</v>
      </c>
      <c r="AV18" s="118">
        <f t="shared" si="3"/>
        <v>6.1917929055996419</v>
      </c>
      <c r="AW18" s="115">
        <f t="shared" si="4"/>
        <v>415552.5</v>
      </c>
    </row>
    <row r="19" spans="2:64" x14ac:dyDescent="0.25">
      <c r="B19" s="105"/>
      <c r="C19" s="106" t="s">
        <v>27</v>
      </c>
      <c r="D19" s="107">
        <f>[20]Folha1!$I$46</f>
        <v>0</v>
      </c>
      <c r="E19" s="108">
        <f>[20]Folha1!$Q$53</f>
        <v>398901</v>
      </c>
      <c r="F19" s="108">
        <f t="shared" si="13"/>
        <v>24579.5</v>
      </c>
      <c r="G19" s="107">
        <f t="shared" si="5"/>
        <v>0</v>
      </c>
      <c r="H19" s="109">
        <f>'[6]Mensais 07-12 MOD''s'!F$28</f>
        <v>56568.12592962441</v>
      </c>
      <c r="I19" s="110">
        <f t="shared" si="9"/>
        <v>0.14180993762769312</v>
      </c>
      <c r="J19" s="109">
        <f t="shared" si="6"/>
        <v>2.3014351768597576</v>
      </c>
      <c r="K19" s="111">
        <f>'[6]Mensais 07-12 MOD''s'!F$34</f>
        <v>51838.910109956312</v>
      </c>
      <c r="L19" s="112">
        <f t="shared" si="10"/>
        <v>0.12995432478222996</v>
      </c>
      <c r="M19" s="111">
        <f t="shared" si="0"/>
        <v>2.1090302939423631</v>
      </c>
      <c r="N19" s="113">
        <f>'[6]Mensais 07-12 MOD''s'!F$40</f>
        <v>30419.847060619431</v>
      </c>
      <c r="O19" s="114">
        <f t="shared" si="11"/>
        <v>7.6259139637703172E-2</v>
      </c>
      <c r="P19" s="113">
        <f t="shared" si="1"/>
        <v>1.2376104908814025</v>
      </c>
      <c r="Q19" s="108">
        <f t="shared" ref="Q19:Q28" si="14">SUM(H19,K19,N19)</f>
        <v>138826.88310020015</v>
      </c>
      <c r="R19" s="108">
        <f t="shared" si="7"/>
        <v>0.34802340204762622</v>
      </c>
      <c r="S19" s="115">
        <f t="shared" si="2"/>
        <v>5.6480759616835226</v>
      </c>
      <c r="AT19" s="105"/>
      <c r="AU19" s="106" t="s">
        <v>27</v>
      </c>
      <c r="AV19" s="118">
        <f t="shared" si="3"/>
        <v>5.6480759616835226</v>
      </c>
      <c r="AW19" s="115">
        <f t="shared" si="4"/>
        <v>398901</v>
      </c>
    </row>
    <row r="20" spans="2:64" x14ac:dyDescent="0.25">
      <c r="B20" s="105"/>
      <c r="C20" s="106" t="s">
        <v>29</v>
      </c>
      <c r="D20" s="107">
        <f>[21]Folha1!$I$46</f>
        <v>0</v>
      </c>
      <c r="E20" s="108">
        <f>[21]Folha1!$Q$53</f>
        <v>368657.5</v>
      </c>
      <c r="F20" s="108">
        <f t="shared" si="13"/>
        <v>24579.5</v>
      </c>
      <c r="G20" s="107">
        <f t="shared" si="5"/>
        <v>0</v>
      </c>
      <c r="H20" s="109">
        <f>'[6]Mensais 07-12 MOD''s'!G$28</f>
        <v>73300.461230465851</v>
      </c>
      <c r="I20" s="110">
        <f t="shared" si="9"/>
        <v>0.19883078800910289</v>
      </c>
      <c r="J20" s="109">
        <f t="shared" si="6"/>
        <v>2.9821786948662852</v>
      </c>
      <c r="K20" s="111">
        <f>'[6]Mensais 07-12 MOD''s'!G$34</f>
        <v>47663.364195049493</v>
      </c>
      <c r="L20" s="112">
        <f t="shared" si="10"/>
        <v>0.12928901268806275</v>
      </c>
      <c r="M20" s="111">
        <f t="shared" si="0"/>
        <v>1.9391510891209949</v>
      </c>
      <c r="N20" s="113">
        <f>'[6]Mensais 07-12 MOD''s'!G$40</f>
        <v>4437.6955647029754</v>
      </c>
      <c r="O20" s="114">
        <f t="shared" si="11"/>
        <v>1.2037448213322597E-2</v>
      </c>
      <c r="P20" s="113">
        <f t="shared" si="1"/>
        <v>0.1805445824651834</v>
      </c>
      <c r="Q20" s="108">
        <f t="shared" si="14"/>
        <v>125401.52099021833</v>
      </c>
      <c r="R20" s="108">
        <f t="shared" si="7"/>
        <v>0.34015724891048826</v>
      </c>
      <c r="S20" s="115">
        <f t="shared" si="2"/>
        <v>5.1018743664524635</v>
      </c>
      <c r="Z20" s="117"/>
      <c r="AT20" s="105"/>
      <c r="AU20" s="106" t="s">
        <v>29</v>
      </c>
      <c r="AV20" s="118">
        <f t="shared" si="3"/>
        <v>5.1018743664524635</v>
      </c>
      <c r="AW20" s="115">
        <f t="shared" si="4"/>
        <v>368657.5</v>
      </c>
    </row>
    <row r="21" spans="2:64" x14ac:dyDescent="0.25">
      <c r="B21" s="105"/>
      <c r="C21" s="106" t="s">
        <v>31</v>
      </c>
      <c r="D21" s="107">
        <f>[22]Folha1!$I$46</f>
        <v>0</v>
      </c>
      <c r="E21" s="108">
        <f>[22]Folha1!$Q$53</f>
        <v>432829</v>
      </c>
      <c r="F21" s="108">
        <f t="shared" si="13"/>
        <v>24579.5</v>
      </c>
      <c r="G21" s="107">
        <f t="shared" si="5"/>
        <v>0</v>
      </c>
      <c r="H21" s="109">
        <f>'[6]Mensais 07-12 MOD''s'!H$28</f>
        <v>69089.611464463684</v>
      </c>
      <c r="I21" s="110">
        <f t="shared" si="9"/>
        <v>0.15962334193056307</v>
      </c>
      <c r="J21" s="109">
        <f t="shared" si="6"/>
        <v>2.8108631772193773</v>
      </c>
      <c r="K21" s="111">
        <f>'[6]Mensais 07-12 MOD''s'!H$34</f>
        <v>46435.610390364309</v>
      </c>
      <c r="L21" s="112">
        <f t="shared" si="10"/>
        <v>0.10728396292846439</v>
      </c>
      <c r="M21" s="111">
        <f t="shared" si="0"/>
        <v>1.8892007726098703</v>
      </c>
      <c r="N21" s="113">
        <f>'[6]Mensais 07-12 MOD''s'!H$40</f>
        <v>0</v>
      </c>
      <c r="O21" s="114">
        <f t="shared" si="11"/>
        <v>0</v>
      </c>
      <c r="P21" s="113">
        <f t="shared" si="1"/>
        <v>0</v>
      </c>
      <c r="Q21" s="108">
        <f t="shared" si="14"/>
        <v>115525.22185482799</v>
      </c>
      <c r="R21" s="108">
        <f t="shared" si="7"/>
        <v>0.26690730485902747</v>
      </c>
      <c r="S21" s="115">
        <f t="shared" si="2"/>
        <v>4.7000639498292474</v>
      </c>
      <c r="AT21" s="105"/>
      <c r="AU21" s="106" t="s">
        <v>31</v>
      </c>
      <c r="AV21" s="118">
        <f t="shared" si="3"/>
        <v>4.7000639498292474</v>
      </c>
      <c r="AW21" s="115">
        <f t="shared" si="4"/>
        <v>432829</v>
      </c>
    </row>
    <row r="22" spans="2:64" x14ac:dyDescent="0.25">
      <c r="B22" s="105"/>
      <c r="C22" s="106" t="s">
        <v>33</v>
      </c>
      <c r="D22" s="107">
        <f>[23]Folha1!$I$46</f>
        <v>0</v>
      </c>
      <c r="E22" s="108">
        <f>[23]Folha1!$Q$53</f>
        <v>403669.60000000003</v>
      </c>
      <c r="F22" s="108">
        <f t="shared" si="13"/>
        <v>24579.5</v>
      </c>
      <c r="G22" s="107">
        <f t="shared" si="5"/>
        <v>0</v>
      </c>
      <c r="H22" s="109">
        <f>'[6]Mensais 07-12 MOD''s'!I$28</f>
        <v>52319.342181076841</v>
      </c>
      <c r="I22" s="110">
        <f t="shared" si="9"/>
        <v>0.12960931955509367</v>
      </c>
      <c r="J22" s="109">
        <f t="shared" si="6"/>
        <v>2.1285763413038037</v>
      </c>
      <c r="K22" s="111">
        <f>'[6]Mensais 07-12 MOD''s'!I$34</f>
        <v>65118.573697801818</v>
      </c>
      <c r="L22" s="112">
        <f t="shared" si="10"/>
        <v>0.16131651652193232</v>
      </c>
      <c r="M22" s="111">
        <f t="shared" si="0"/>
        <v>2.6493042453183269</v>
      </c>
      <c r="N22" s="113">
        <f>'[6]Mensais 07-12 MOD''s'!I$40</f>
        <v>0</v>
      </c>
      <c r="O22" s="114">
        <f t="shared" si="11"/>
        <v>0</v>
      </c>
      <c r="P22" s="113">
        <f t="shared" si="1"/>
        <v>0</v>
      </c>
      <c r="Q22" s="108">
        <f t="shared" si="14"/>
        <v>117437.91587887866</v>
      </c>
      <c r="R22" s="108">
        <f t="shared" si="7"/>
        <v>0.29092583607702599</v>
      </c>
      <c r="S22" s="115">
        <f t="shared" si="2"/>
        <v>4.777880586622131</v>
      </c>
      <c r="AT22" s="105"/>
      <c r="AU22" s="106" t="s">
        <v>33</v>
      </c>
      <c r="AV22" s="118">
        <f t="shared" si="3"/>
        <v>4.777880586622131</v>
      </c>
      <c r="AW22" s="115">
        <f t="shared" si="4"/>
        <v>403669.60000000003</v>
      </c>
    </row>
    <row r="23" spans="2:64" x14ac:dyDescent="0.25">
      <c r="B23" s="105"/>
      <c r="C23" s="106" t="s">
        <v>35</v>
      </c>
      <c r="D23" s="107">
        <f>[24]Folha1!$I$46</f>
        <v>0</v>
      </c>
      <c r="E23" s="108">
        <f>[24]Folha1!$Q$53</f>
        <v>410006.5</v>
      </c>
      <c r="F23" s="108">
        <f t="shared" si="13"/>
        <v>24579.5</v>
      </c>
      <c r="G23" s="107">
        <f t="shared" si="5"/>
        <v>0</v>
      </c>
      <c r="H23" s="109">
        <f>'[6]Mensais 07-12 MOD''s'!J$28</f>
        <v>57073.054699874207</v>
      </c>
      <c r="I23" s="110">
        <f t="shared" si="9"/>
        <v>0.13920036560365312</v>
      </c>
      <c r="J23" s="109">
        <f t="shared" si="6"/>
        <v>2.3219778555248971</v>
      </c>
      <c r="K23" s="111">
        <f>'[6]Mensais 07-12 MOD''s'!J$34</f>
        <v>64105.456019762394</v>
      </c>
      <c r="L23" s="112">
        <f t="shared" si="10"/>
        <v>0.15635229202405912</v>
      </c>
      <c r="M23" s="111">
        <f t="shared" si="0"/>
        <v>2.6080862515414225</v>
      </c>
      <c r="N23" s="113">
        <f>'[6]Mensais 07-12 MOD''s'!J$40</f>
        <v>0</v>
      </c>
      <c r="O23" s="114">
        <f t="shared" si="11"/>
        <v>0</v>
      </c>
      <c r="P23" s="113">
        <f t="shared" si="1"/>
        <v>0</v>
      </c>
      <c r="Q23" s="108">
        <f t="shared" si="14"/>
        <v>121178.5107196366</v>
      </c>
      <c r="R23" s="108">
        <f t="shared" si="7"/>
        <v>0.29555265762771227</v>
      </c>
      <c r="S23" s="115">
        <f t="shared" si="2"/>
        <v>4.9300641070663191</v>
      </c>
      <c r="AT23" s="105"/>
      <c r="AU23" s="106" t="s">
        <v>35</v>
      </c>
      <c r="AV23" s="118">
        <f t="shared" si="3"/>
        <v>4.9300641070663191</v>
      </c>
      <c r="AW23" s="115">
        <f t="shared" si="4"/>
        <v>410006.5</v>
      </c>
      <c r="BJ23" s="87" t="s">
        <v>3</v>
      </c>
      <c r="BK23" s="87" t="s">
        <v>22</v>
      </c>
      <c r="BL23" s="87" t="s">
        <v>10</v>
      </c>
    </row>
    <row r="24" spans="2:64" x14ac:dyDescent="0.25">
      <c r="B24" s="105"/>
      <c r="C24" s="106" t="s">
        <v>37</v>
      </c>
      <c r="D24" s="107">
        <f>[25]Folha1!$I$46</f>
        <v>0</v>
      </c>
      <c r="E24" s="108">
        <f>[25]Folha1!$Q$53</f>
        <v>303533</v>
      </c>
      <c r="F24" s="108">
        <f t="shared" si="13"/>
        <v>24579.5</v>
      </c>
      <c r="G24" s="107">
        <f t="shared" si="5"/>
        <v>0</v>
      </c>
      <c r="H24" s="109">
        <f>'[6]Mensais 07-12 MOD''s'!K$28</f>
        <v>47342.36799688304</v>
      </c>
      <c r="I24" s="110">
        <f t="shared" si="9"/>
        <v>0.15597107397509674</v>
      </c>
      <c r="J24" s="109">
        <f t="shared" si="6"/>
        <v>1.9260915802552143</v>
      </c>
      <c r="K24" s="111">
        <f>'[6]Mensais 07-12 MOD''s'!K$34</f>
        <v>46955.370377432497</v>
      </c>
      <c r="L24" s="112">
        <f t="shared" si="10"/>
        <v>0.15469609689039576</v>
      </c>
      <c r="M24" s="111">
        <f t="shared" si="0"/>
        <v>1.9103468490991475</v>
      </c>
      <c r="N24" s="113">
        <f>'[6]Mensais 07-12 MOD''s'!K$40</f>
        <v>0</v>
      </c>
      <c r="O24" s="114">
        <f t="shared" si="11"/>
        <v>0</v>
      </c>
      <c r="P24" s="113">
        <f t="shared" si="1"/>
        <v>0</v>
      </c>
      <c r="Q24" s="108">
        <f t="shared" si="14"/>
        <v>94297.738374315537</v>
      </c>
      <c r="R24" s="108">
        <f t="shared" si="7"/>
        <v>0.3106671708654925</v>
      </c>
      <c r="S24" s="115">
        <f t="shared" si="2"/>
        <v>3.8364384293543616</v>
      </c>
      <c r="AT24" s="105"/>
      <c r="AU24" s="106" t="s">
        <v>37</v>
      </c>
      <c r="AV24" s="118">
        <f t="shared" si="3"/>
        <v>3.8364384293543616</v>
      </c>
      <c r="AW24" s="115">
        <f t="shared" si="4"/>
        <v>303533</v>
      </c>
      <c r="BJ24" s="87">
        <v>2007</v>
      </c>
      <c r="BK24" s="136">
        <f>AVERAGE(AW5,AW6,AW7)</f>
        <v>413602.16666666669</v>
      </c>
      <c r="BL24" s="136">
        <f>AVERAGE(AV5,AV6,AV7)</f>
        <v>7.3058570962698299</v>
      </c>
    </row>
    <row r="25" spans="2:64" x14ac:dyDescent="0.25">
      <c r="B25" s="105"/>
      <c r="C25" s="106" t="s">
        <v>39</v>
      </c>
      <c r="D25" s="107">
        <f>[26]Folha1!$I$46</f>
        <v>0</v>
      </c>
      <c r="E25" s="108">
        <f>[26]Folha1!$Q$53</f>
        <v>383739.5</v>
      </c>
      <c r="F25" s="108">
        <f t="shared" si="13"/>
        <v>24579.5</v>
      </c>
      <c r="G25" s="107">
        <f t="shared" si="5"/>
        <v>0</v>
      </c>
      <c r="H25" s="109">
        <f>'[6]Mensais 07-12 MOD''s'!L$28</f>
        <v>78069.11747445201</v>
      </c>
      <c r="I25" s="110">
        <f t="shared" si="9"/>
        <v>0.20344300619157529</v>
      </c>
      <c r="J25" s="109">
        <f t="shared" si="6"/>
        <v>3.1761881842369459</v>
      </c>
      <c r="K25" s="111">
        <f>'[6]Mensais 07-12 MOD''s'!L$34</f>
        <v>52440.459545033453</v>
      </c>
      <c r="L25" s="112">
        <f t="shared" si="10"/>
        <v>0.13665640244236898</v>
      </c>
      <c r="M25" s="111">
        <f t="shared" si="0"/>
        <v>2.1335039176970017</v>
      </c>
      <c r="N25" s="113">
        <f>'[6]Mensais 07-12 MOD''s'!L$40</f>
        <v>0</v>
      </c>
      <c r="O25" s="114">
        <f t="shared" si="11"/>
        <v>0</v>
      </c>
      <c r="P25" s="113">
        <f t="shared" si="1"/>
        <v>0</v>
      </c>
      <c r="Q25" s="108">
        <f t="shared" si="14"/>
        <v>130509.57701948547</v>
      </c>
      <c r="R25" s="108">
        <f t="shared" si="7"/>
        <v>0.34009940863394428</v>
      </c>
      <c r="S25" s="115">
        <f t="shared" si="2"/>
        <v>5.3096921019339476</v>
      </c>
      <c r="AT25" s="105"/>
      <c r="AU25" s="106" t="s">
        <v>39</v>
      </c>
      <c r="AV25" s="118">
        <f t="shared" si="3"/>
        <v>5.3096921019339476</v>
      </c>
      <c r="AW25" s="115">
        <f t="shared" si="4"/>
        <v>383739.5</v>
      </c>
      <c r="BJ25" s="87">
        <v>2008</v>
      </c>
      <c r="BK25" s="137">
        <f>AVERAGE(AW17:AW19)</f>
        <v>411074</v>
      </c>
      <c r="BL25" s="137">
        <f>AVERAGE(AV17:AV19)</f>
        <v>5.9924930581690434</v>
      </c>
    </row>
    <row r="26" spans="2:64" x14ac:dyDescent="0.25">
      <c r="B26" s="105"/>
      <c r="C26" s="106" t="s">
        <v>41</v>
      </c>
      <c r="D26" s="107">
        <f>[27]Folha1!$I$46</f>
        <v>0</v>
      </c>
      <c r="E26" s="108">
        <f>[27]Folha1!$Q$53</f>
        <v>421040.49999999994</v>
      </c>
      <c r="F26" s="108">
        <f t="shared" si="13"/>
        <v>24579.5</v>
      </c>
      <c r="G26" s="107">
        <f t="shared" si="5"/>
        <v>0</v>
      </c>
      <c r="H26" s="109">
        <f>'[6]Mensais 07-12 MOD''s'!M$28</f>
        <v>58548.781226187893</v>
      </c>
      <c r="I26" s="110">
        <f t="shared" si="9"/>
        <v>0.13905736200243896</v>
      </c>
      <c r="J26" s="109">
        <f t="shared" si="6"/>
        <v>2.382016771138058</v>
      </c>
      <c r="K26" s="111">
        <f>'[6]Mensais 07-12 MOD''s'!M$34</f>
        <v>46103.002401981103</v>
      </c>
      <c r="L26" s="112">
        <f t="shared" si="10"/>
        <v>0.10949778560965301</v>
      </c>
      <c r="M26" s="111">
        <f t="shared" si="0"/>
        <v>1.8756688460701438</v>
      </c>
      <c r="N26" s="113">
        <f>'[6]Mensais 07-12 MOD''s'!M$40</f>
        <v>0</v>
      </c>
      <c r="O26" s="114">
        <f t="shared" si="11"/>
        <v>0</v>
      </c>
      <c r="P26" s="113">
        <f t="shared" si="1"/>
        <v>0</v>
      </c>
      <c r="Q26" s="108">
        <f t="shared" si="14"/>
        <v>104651.783628169</v>
      </c>
      <c r="R26" s="108">
        <f t="shared" si="7"/>
        <v>0.24855514761209196</v>
      </c>
      <c r="S26" s="115">
        <f t="shared" si="2"/>
        <v>4.2576856172082014</v>
      </c>
      <c r="AT26" s="105"/>
      <c r="AU26" s="106" t="s">
        <v>41</v>
      </c>
      <c r="AV26" s="118">
        <f t="shared" si="3"/>
        <v>4.2576856172082014</v>
      </c>
      <c r="AW26" s="115">
        <f t="shared" si="4"/>
        <v>421040.49999999994</v>
      </c>
      <c r="BJ26" s="87">
        <v>2009</v>
      </c>
      <c r="BK26" s="137">
        <f>AVERAGE(AW29:AW31)</f>
        <v>408536.16666666669</v>
      </c>
      <c r="BL26" s="137">
        <f>AVERAGE(AV29:AV31)</f>
        <v>5.0524346573455805</v>
      </c>
    </row>
    <row r="27" spans="2:64" x14ac:dyDescent="0.25">
      <c r="B27" s="105"/>
      <c r="C27" s="106" t="s">
        <v>43</v>
      </c>
      <c r="D27" s="107">
        <f>[28]Folha1!$I$46</f>
        <v>0</v>
      </c>
      <c r="E27" s="108">
        <f>[28]Folha1!$Q$53</f>
        <v>418656</v>
      </c>
      <c r="F27" s="108">
        <f t="shared" si="13"/>
        <v>24579.5</v>
      </c>
      <c r="G27" s="107">
        <f t="shared" si="5"/>
        <v>0</v>
      </c>
      <c r="H27" s="109">
        <f>'[6]Mensais 07-12 MOD''s'!N$28</f>
        <v>53819.636622859725</v>
      </c>
      <c r="I27" s="110">
        <f t="shared" si="9"/>
        <v>0.12855336271989348</v>
      </c>
      <c r="J27" s="109">
        <f t="shared" si="6"/>
        <v>2.1896147856083208</v>
      </c>
      <c r="K27" s="111">
        <f>'[6]Mensais 07-12 MOD''s'!N$34</f>
        <v>35130.009070380773</v>
      </c>
      <c r="L27" s="112">
        <f t="shared" si="10"/>
        <v>8.3911395203653524E-2</v>
      </c>
      <c r="M27" s="111">
        <f t="shared" si="0"/>
        <v>1.4292401826880439</v>
      </c>
      <c r="N27" s="113">
        <f>'[6]Mensais 07-12 MOD''s'!N$40</f>
        <v>26575.434607038609</v>
      </c>
      <c r="O27" s="114">
        <f t="shared" si="11"/>
        <v>6.347797381869269E-2</v>
      </c>
      <c r="P27" s="113">
        <f t="shared" si="1"/>
        <v>1.0812032224837205</v>
      </c>
      <c r="Q27" s="108">
        <f t="shared" si="14"/>
        <v>115525.08030027911</v>
      </c>
      <c r="R27" s="108">
        <f t="shared" si="7"/>
        <v>0.27594273174223971</v>
      </c>
      <c r="S27" s="115">
        <f t="shared" si="2"/>
        <v>4.7000581907800854</v>
      </c>
      <c r="AT27" s="105"/>
      <c r="AU27" s="106" t="s">
        <v>43</v>
      </c>
      <c r="AV27" s="118">
        <f t="shared" si="3"/>
        <v>4.7000581907800854</v>
      </c>
      <c r="AW27" s="115">
        <f t="shared" si="4"/>
        <v>418656</v>
      </c>
      <c r="BJ27" s="87">
        <v>2010</v>
      </c>
      <c r="BK27" s="137">
        <f>AVERAGE(AW41:AW43)</f>
        <v>416461.83333333331</v>
      </c>
      <c r="BL27" s="137">
        <f>AVERAGE(AV41:AV43)</f>
        <v>6.2535636685143929</v>
      </c>
    </row>
    <row r="28" spans="2:64" ht="15.75" thickBot="1" x14ac:dyDescent="0.3">
      <c r="B28" s="119"/>
      <c r="C28" s="120" t="s">
        <v>45</v>
      </c>
      <c r="D28" s="121">
        <f>[29]Folha1!$I$46</f>
        <v>0</v>
      </c>
      <c r="E28" s="122">
        <f>[29]Folha1!$Q$53</f>
        <v>421215</v>
      </c>
      <c r="F28" s="122">
        <f t="shared" si="13"/>
        <v>24579.5</v>
      </c>
      <c r="G28" s="121">
        <f t="shared" si="5"/>
        <v>0</v>
      </c>
      <c r="H28" s="123">
        <f>'[6]Mensais 07-12 MOD''s'!O$28</f>
        <v>63426.096466485978</v>
      </c>
      <c r="I28" s="124">
        <f t="shared" si="9"/>
        <v>0.15057891211491989</v>
      </c>
      <c r="J28" s="123">
        <f t="shared" si="6"/>
        <v>2.5804469768093727</v>
      </c>
      <c r="K28" s="125">
        <f>'[6]Mensais 07-12 MOD''s'!O$34</f>
        <v>37965.771607312585</v>
      </c>
      <c r="L28" s="126">
        <f t="shared" si="10"/>
        <v>9.0133949663028581E-2</v>
      </c>
      <c r="M28" s="125">
        <f t="shared" si="0"/>
        <v>1.544611225098663</v>
      </c>
      <c r="N28" s="127">
        <f>'[6]Mensais 07-12 MOD''s'!O$40</f>
        <v>54551.722719929756</v>
      </c>
      <c r="O28" s="128">
        <f t="shared" si="11"/>
        <v>0.12951039901221409</v>
      </c>
      <c r="P28" s="127">
        <f t="shared" si="1"/>
        <v>2.2193992033983503</v>
      </c>
      <c r="Q28" s="108">
        <f t="shared" si="14"/>
        <v>155943.59079372833</v>
      </c>
      <c r="R28" s="122">
        <f t="shared" si="7"/>
        <v>0.3702232607901626</v>
      </c>
      <c r="S28" s="129">
        <f t="shared" si="2"/>
        <v>6.3444574053063869</v>
      </c>
      <c r="AT28" s="119"/>
      <c r="AU28" s="120" t="s">
        <v>45</v>
      </c>
      <c r="AV28" s="130">
        <f t="shared" si="3"/>
        <v>6.3444574053063869</v>
      </c>
      <c r="AW28" s="129">
        <f t="shared" si="4"/>
        <v>421215</v>
      </c>
      <c r="BJ28" s="87">
        <v>2011</v>
      </c>
      <c r="BK28" s="137">
        <f>AVERAGE(AW53:AW55)</f>
        <v>402528</v>
      </c>
      <c r="BL28" s="137">
        <f>AVERAGE(AV53:AV55)</f>
        <v>5.4195029433034785</v>
      </c>
    </row>
    <row r="29" spans="2:64" ht="15" customHeight="1" x14ac:dyDescent="0.25">
      <c r="B29" s="88">
        <v>2009</v>
      </c>
      <c r="C29" s="131" t="s">
        <v>23</v>
      </c>
      <c r="D29" s="93">
        <f>[30]Folha1!$I$47</f>
        <v>17.3</v>
      </c>
      <c r="E29" s="132">
        <f>[30]Folha1!$Q$53</f>
        <v>413619.5</v>
      </c>
      <c r="F29" s="132">
        <f t="shared" si="13"/>
        <v>24579.5</v>
      </c>
      <c r="G29" s="93">
        <f t="shared" si="5"/>
        <v>7.0383856465753983E-4</v>
      </c>
      <c r="H29" s="94">
        <f>'[6]Mensais 07-12 MOD''s'!D$29</f>
        <v>53496.332423999913</v>
      </c>
      <c r="I29" s="133">
        <f t="shared" si="9"/>
        <v>0.12933706564608272</v>
      </c>
      <c r="J29" s="94">
        <f t="shared" si="6"/>
        <v>2.1764613773266306</v>
      </c>
      <c r="K29" s="96">
        <f>'[6]Mensais 07-12 MOD''s'!D$35</f>
        <v>28532.848187309624</v>
      </c>
      <c r="L29" s="134">
        <f t="shared" si="10"/>
        <v>6.8983324498263804E-2</v>
      </c>
      <c r="M29" s="96">
        <f t="shared" si="0"/>
        <v>1.1608392435692192</v>
      </c>
      <c r="N29" s="98">
        <f>'[6]Mensais 07-12 MOD''s'!D$41</f>
        <v>43019.778901109523</v>
      </c>
      <c r="O29" s="135">
        <f t="shared" si="11"/>
        <v>0.10400810140989369</v>
      </c>
      <c r="P29" s="98">
        <f t="shared" si="1"/>
        <v>1.7502300250659908</v>
      </c>
      <c r="Q29" s="132">
        <f>SUM(H29,K29,N29)</f>
        <v>125048.95951241907</v>
      </c>
      <c r="R29" s="132">
        <f t="shared" si="7"/>
        <v>0.30232849155424024</v>
      </c>
      <c r="S29" s="104">
        <f t="shared" si="2"/>
        <v>5.0875306459618406</v>
      </c>
      <c r="AT29" s="88">
        <v>2009</v>
      </c>
      <c r="AU29" s="131" t="s">
        <v>23</v>
      </c>
      <c r="AV29" s="103">
        <f t="shared" si="3"/>
        <v>5.0875306459618406</v>
      </c>
      <c r="AW29" s="104">
        <f t="shared" si="4"/>
        <v>413619.5</v>
      </c>
      <c r="BJ29" s="87">
        <v>2012</v>
      </c>
      <c r="BK29" s="137">
        <f>AVERAGE(AW65:AW67)</f>
        <v>405499.66666666669</v>
      </c>
      <c r="BL29" s="137">
        <f>AVERAGE(AV65:AV67)</f>
        <v>4.6704556056245226</v>
      </c>
    </row>
    <row r="30" spans="2:64" x14ac:dyDescent="0.25">
      <c r="B30" s="105"/>
      <c r="C30" s="106" t="s">
        <v>25</v>
      </c>
      <c r="D30" s="107">
        <f>[31]Folha1!$I$47</f>
        <v>17.900000000000002</v>
      </c>
      <c r="E30" s="108">
        <f>[31]Folha1!$Q$53</f>
        <v>414305</v>
      </c>
      <c r="F30" s="108">
        <f>$F$6</f>
        <v>24579.5</v>
      </c>
      <c r="G30" s="107">
        <f t="shared" si="5"/>
        <v>7.2824915071502687E-4</v>
      </c>
      <c r="H30" s="109">
        <f>'[6]Mensais 07-12 MOD''s'!E$29</f>
        <v>55428.457100832406</v>
      </c>
      <c r="I30" s="110">
        <f t="shared" si="9"/>
        <v>0.13378659948789517</v>
      </c>
      <c r="J30" s="109">
        <f t="shared" si="6"/>
        <v>2.2550685368226531</v>
      </c>
      <c r="K30" s="111">
        <f>'[6]Mensais 07-12 MOD''s'!E$35</f>
        <v>32755.760966002039</v>
      </c>
      <c r="L30" s="112">
        <f t="shared" si="10"/>
        <v>7.9061949447875451E-2</v>
      </c>
      <c r="M30" s="111">
        <f t="shared" si="0"/>
        <v>1.3326455365651066</v>
      </c>
      <c r="N30" s="113">
        <f>'[6]Mensais 07-12 MOD''s'!E$41</f>
        <v>45748.332254175672</v>
      </c>
      <c r="O30" s="114">
        <f t="shared" si="11"/>
        <v>0.11042186856102551</v>
      </c>
      <c r="P30" s="113">
        <f t="shared" si="1"/>
        <v>1.8612393357951005</v>
      </c>
      <c r="Q30" s="108">
        <f>SUM(H30,K30,N30)</f>
        <v>133932.55032101012</v>
      </c>
      <c r="R30" s="108">
        <f t="shared" si="7"/>
        <v>0.32327041749679614</v>
      </c>
      <c r="S30" s="115">
        <f t="shared" si="2"/>
        <v>5.4489534091828604</v>
      </c>
      <c r="AT30" s="105"/>
      <c r="AU30" s="106" t="s">
        <v>25</v>
      </c>
      <c r="AV30" s="118">
        <f t="shared" si="3"/>
        <v>5.4489534091828604</v>
      </c>
      <c r="AW30" s="115">
        <f t="shared" si="4"/>
        <v>414305</v>
      </c>
    </row>
    <row r="31" spans="2:64" x14ac:dyDescent="0.25">
      <c r="B31" s="105"/>
      <c r="C31" s="106" t="s">
        <v>27</v>
      </c>
      <c r="D31" s="107">
        <f>[32]Folha1!$I$49</f>
        <v>69.933512750920627</v>
      </c>
      <c r="E31" s="108">
        <f>[32]Folha1!$Q$53</f>
        <v>397684</v>
      </c>
      <c r="F31" s="108">
        <f t="shared" ref="F31:F76" si="15">$F$6</f>
        <v>24579.5</v>
      </c>
      <c r="G31" s="107">
        <f t="shared" si="5"/>
        <v>2.8451967188478458E-3</v>
      </c>
      <c r="H31" s="109">
        <f>'[6]Mensais 07-12 MOD''s'!F$29</f>
        <v>65077.584059365239</v>
      </c>
      <c r="I31" s="110">
        <f t="shared" si="9"/>
        <v>0.16364144410980888</v>
      </c>
      <c r="J31" s="109">
        <f t="shared" si="6"/>
        <v>2.6476366101574582</v>
      </c>
      <c r="K31" s="111">
        <f>'[6]Mensais 07-12 MOD''s'!F$35</f>
        <v>37702.165793561318</v>
      </c>
      <c r="L31" s="112">
        <f t="shared" si="10"/>
        <v>9.4804331563656863E-2</v>
      </c>
      <c r="M31" s="111">
        <f t="shared" si="0"/>
        <v>1.5338866044289476</v>
      </c>
      <c r="N31" s="113">
        <f>'[6]Mensais 07-12 MOD''s'!F$41</f>
        <v>10797.693294321347</v>
      </c>
      <c r="O31" s="114">
        <f t="shared" si="11"/>
        <v>2.7151440073830847E-2</v>
      </c>
      <c r="P31" s="113">
        <f t="shared" si="1"/>
        <v>0.43929670230563467</v>
      </c>
      <c r="Q31" s="108">
        <f t="shared" ref="Q31:Q39" si="16">SUM(H31,K31,N31)</f>
        <v>113577.4431472479</v>
      </c>
      <c r="R31" s="108">
        <f t="shared" si="7"/>
        <v>0.28559721574729663</v>
      </c>
      <c r="S31" s="115">
        <f t="shared" si="2"/>
        <v>4.6208199168920405</v>
      </c>
      <c r="AT31" s="105"/>
      <c r="AU31" s="106" t="s">
        <v>27</v>
      </c>
      <c r="AV31" s="118">
        <f t="shared" si="3"/>
        <v>4.6208199168920405</v>
      </c>
      <c r="AW31" s="115">
        <f t="shared" si="4"/>
        <v>397684</v>
      </c>
    </row>
    <row r="32" spans="2:64" x14ac:dyDescent="0.25">
      <c r="B32" s="105"/>
      <c r="C32" s="106" t="s">
        <v>29</v>
      </c>
      <c r="D32" s="107">
        <f>[33]Folha1!$I$49</f>
        <v>71.149036145762679</v>
      </c>
      <c r="E32" s="108">
        <f>[33]Folha1!$Q$53</f>
        <v>362411.5</v>
      </c>
      <c r="F32" s="108">
        <f t="shared" si="15"/>
        <v>24579.5</v>
      </c>
      <c r="G32" s="107">
        <f t="shared" si="5"/>
        <v>2.8946494495723134E-3</v>
      </c>
      <c r="H32" s="109">
        <f>'[6]Mensais 07-12 MOD''s'!G$29</f>
        <v>60911.526055211107</v>
      </c>
      <c r="I32" s="110">
        <f t="shared" si="9"/>
        <v>0.1680728289671026</v>
      </c>
      <c r="J32" s="109">
        <f t="shared" si="6"/>
        <v>2.4781434144393137</v>
      </c>
      <c r="K32" s="111">
        <f>'[6]Mensais 07-12 MOD''s'!G$35</f>
        <v>36666.623902968699</v>
      </c>
      <c r="L32" s="112">
        <f t="shared" si="10"/>
        <v>0.10117400773145636</v>
      </c>
      <c r="M32" s="111">
        <f t="shared" si="0"/>
        <v>1.4917562970348746</v>
      </c>
      <c r="N32" s="113">
        <f>'[6]Mensais 07-12 MOD''s'!G$41</f>
        <v>1893.076149094537</v>
      </c>
      <c r="O32" s="114">
        <f t="shared" si="11"/>
        <v>5.2235542997243105E-3</v>
      </c>
      <c r="P32" s="113">
        <f t="shared" si="1"/>
        <v>7.7018497084746923E-2</v>
      </c>
      <c r="Q32" s="108">
        <f t="shared" si="16"/>
        <v>99471.226107274328</v>
      </c>
      <c r="R32" s="108">
        <f t="shared" si="7"/>
        <v>0.27447039099828324</v>
      </c>
      <c r="S32" s="115">
        <f t="shared" si="2"/>
        <v>4.0469182085589344</v>
      </c>
      <c r="AT32" s="105"/>
      <c r="AU32" s="106" t="s">
        <v>29</v>
      </c>
      <c r="AV32" s="118">
        <f t="shared" si="3"/>
        <v>4.0469182085589344</v>
      </c>
      <c r="AW32" s="115">
        <f t="shared" si="4"/>
        <v>362411.5</v>
      </c>
      <c r="BK32" s="117">
        <f>MAX(BK24:BK29,BK39:BK44,BK56:BK61,BK72:BK77)</f>
        <v>420988.16666666669</v>
      </c>
    </row>
    <row r="33" spans="2:65" x14ac:dyDescent="0.25">
      <c r="B33" s="105"/>
      <c r="C33" s="106" t="s">
        <v>31</v>
      </c>
      <c r="D33" s="107">
        <f>[34]Folha1!$I$49</f>
        <v>70.986711111999</v>
      </c>
      <c r="E33" s="108">
        <f>[34]Folha1!$Q$53</f>
        <v>439245.5</v>
      </c>
      <c r="F33" s="108">
        <f t="shared" si="15"/>
        <v>24579.5</v>
      </c>
      <c r="G33" s="107">
        <f t="shared" si="5"/>
        <v>2.8880453675623587E-3</v>
      </c>
      <c r="H33" s="109">
        <f>'[6]Mensais 07-12 MOD''s'!H$29</f>
        <v>62124.430786560399</v>
      </c>
      <c r="I33" s="110">
        <f t="shared" si="9"/>
        <v>0.14143441603058063</v>
      </c>
      <c r="J33" s="109">
        <f t="shared" si="6"/>
        <v>2.5274896066462049</v>
      </c>
      <c r="K33" s="111">
        <f>'[6]Mensais 07-12 MOD''s'!H$35</f>
        <v>51648.09203354449</v>
      </c>
      <c r="L33" s="112">
        <f t="shared" si="10"/>
        <v>0.11758365659646938</v>
      </c>
      <c r="M33" s="111">
        <f t="shared" si="0"/>
        <v>2.1012669921497382</v>
      </c>
      <c r="N33" s="113">
        <f>'[6]Mensais 07-12 MOD''s'!H$41</f>
        <v>0</v>
      </c>
      <c r="O33" s="114">
        <f t="shared" si="11"/>
        <v>0</v>
      </c>
      <c r="P33" s="113">
        <f t="shared" si="1"/>
        <v>0</v>
      </c>
      <c r="Q33" s="108">
        <f t="shared" si="16"/>
        <v>113772.52282010489</v>
      </c>
      <c r="R33" s="108">
        <f t="shared" si="7"/>
        <v>0.25901807262705001</v>
      </c>
      <c r="S33" s="115">
        <f t="shared" si="2"/>
        <v>4.6287565987959436</v>
      </c>
      <c r="AT33" s="105"/>
      <c r="AU33" s="106" t="s">
        <v>31</v>
      </c>
      <c r="AV33" s="118">
        <f t="shared" si="3"/>
        <v>4.6287565987959436</v>
      </c>
      <c r="AW33" s="115">
        <f t="shared" si="4"/>
        <v>439245.5</v>
      </c>
      <c r="BK33" s="117">
        <f>MIN(BK24:BK29,BK39:BK44,BK56:BK61,BK72:BK77)</f>
        <v>373106.75</v>
      </c>
    </row>
    <row r="34" spans="2:65" x14ac:dyDescent="0.25">
      <c r="B34" s="105"/>
      <c r="C34" s="106" t="s">
        <v>33</v>
      </c>
      <c r="D34" s="107">
        <f>[35]Folha1!$I$49</f>
        <v>70.418443481081724</v>
      </c>
      <c r="E34" s="108">
        <f>[35]Folha1!$Q$53</f>
        <v>400144.60000000003</v>
      </c>
      <c r="F34" s="108">
        <f t="shared" si="15"/>
        <v>24579.5</v>
      </c>
      <c r="G34" s="107">
        <f t="shared" si="5"/>
        <v>2.8649257910487082E-3</v>
      </c>
      <c r="H34" s="109">
        <f>'[6]Mensais 07-12 MOD''s'!I$29</f>
        <v>60354.694463133914</v>
      </c>
      <c r="I34" s="110">
        <f t="shared" si="9"/>
        <v>0.15083221031380634</v>
      </c>
      <c r="J34" s="109">
        <f t="shared" si="6"/>
        <v>2.4554891052761008</v>
      </c>
      <c r="K34" s="111">
        <f>'[6]Mensais 07-12 MOD''s'!I$35</f>
        <v>60850.567017703106</v>
      </c>
      <c r="L34" s="112">
        <f t="shared" si="10"/>
        <v>0.15207144371735393</v>
      </c>
      <c r="M34" s="111">
        <f t="shared" si="0"/>
        <v>2.4756633380541957</v>
      </c>
      <c r="N34" s="113">
        <f>'[6]Mensais 07-12 MOD''s'!I$41</f>
        <v>0</v>
      </c>
      <c r="O34" s="114">
        <f t="shared" si="11"/>
        <v>0</v>
      </c>
      <c r="P34" s="113">
        <f t="shared" si="1"/>
        <v>0</v>
      </c>
      <c r="Q34" s="108">
        <f t="shared" si="16"/>
        <v>121205.26148083701</v>
      </c>
      <c r="R34" s="108">
        <f t="shared" si="7"/>
        <v>0.30290365403116026</v>
      </c>
      <c r="S34" s="115">
        <f t="shared" si="2"/>
        <v>4.931152443330296</v>
      </c>
      <c r="AT34" s="105"/>
      <c r="AU34" s="106" t="s">
        <v>33</v>
      </c>
      <c r="AV34" s="118">
        <f t="shared" si="3"/>
        <v>4.931152443330296</v>
      </c>
      <c r="AW34" s="115">
        <f t="shared" si="4"/>
        <v>400144.60000000003</v>
      </c>
    </row>
    <row r="35" spans="2:65" x14ac:dyDescent="0.25">
      <c r="B35" s="105"/>
      <c r="C35" s="106" t="s">
        <v>35</v>
      </c>
      <c r="D35" s="107">
        <f>[36]Folha1!$I$49</f>
        <v>69.742936264898759</v>
      </c>
      <c r="E35" s="108">
        <f>[36]Folha1!$Q$53</f>
        <v>395262.5</v>
      </c>
      <c r="F35" s="108">
        <f t="shared" si="15"/>
        <v>24579.5</v>
      </c>
      <c r="G35" s="107">
        <f t="shared" si="5"/>
        <v>2.8374432459935621E-3</v>
      </c>
      <c r="H35" s="109">
        <f>'[6]Mensais 07-12 MOD''s'!J$29</f>
        <v>60084.863997209817</v>
      </c>
      <c r="I35" s="110">
        <f t="shared" si="9"/>
        <v>0.1520125587355487</v>
      </c>
      <c r="J35" s="109">
        <f t="shared" si="6"/>
        <v>2.4445112389271473</v>
      </c>
      <c r="K35" s="111">
        <f>'[6]Mensais 07-12 MOD''s'!J$35</f>
        <v>50001.854748823571</v>
      </c>
      <c r="L35" s="112">
        <f t="shared" si="10"/>
        <v>0.12650290566098119</v>
      </c>
      <c r="M35" s="111">
        <f t="shared" si="0"/>
        <v>2.0342909639668654</v>
      </c>
      <c r="N35" s="113">
        <f>'[6]Mensais 07-12 MOD''s'!J$41</f>
        <v>0</v>
      </c>
      <c r="O35" s="114">
        <f t="shared" si="11"/>
        <v>0</v>
      </c>
      <c r="P35" s="113">
        <f t="shared" si="1"/>
        <v>0</v>
      </c>
      <c r="Q35" s="108">
        <f t="shared" si="16"/>
        <v>110086.71874603338</v>
      </c>
      <c r="R35" s="108">
        <f t="shared" si="7"/>
        <v>0.27851546439652985</v>
      </c>
      <c r="S35" s="115">
        <f t="shared" si="2"/>
        <v>4.4788022028940127</v>
      </c>
      <c r="AT35" s="105"/>
      <c r="AU35" s="106" t="s">
        <v>35</v>
      </c>
      <c r="AV35" s="118">
        <f t="shared" si="3"/>
        <v>4.4788022028940127</v>
      </c>
      <c r="AW35" s="115">
        <f t="shared" si="4"/>
        <v>395262.5</v>
      </c>
    </row>
    <row r="36" spans="2:65" x14ac:dyDescent="0.25">
      <c r="B36" s="105"/>
      <c r="C36" s="106" t="s">
        <v>37</v>
      </c>
      <c r="D36" s="107">
        <f>[37]Folha1!$I$49</f>
        <v>66.305434183902079</v>
      </c>
      <c r="E36" s="108">
        <f>[37]Folha1!$Q$53</f>
        <v>307013.5</v>
      </c>
      <c r="F36" s="108">
        <f t="shared" si="15"/>
        <v>24579.5</v>
      </c>
      <c r="G36" s="107">
        <f t="shared" si="5"/>
        <v>2.6975908453752955E-3</v>
      </c>
      <c r="H36" s="109">
        <f>'[6]Mensais 07-12 MOD''s'!K$29</f>
        <v>47819.497869497223</v>
      </c>
      <c r="I36" s="110">
        <f t="shared" si="9"/>
        <v>0.15575698745982577</v>
      </c>
      <c r="J36" s="109">
        <f t="shared" si="6"/>
        <v>1.9455032799486247</v>
      </c>
      <c r="K36" s="111">
        <f>'[6]Mensais 07-12 MOD''s'!K$35</f>
        <v>32778.652645765593</v>
      </c>
      <c r="L36" s="112">
        <f t="shared" si="10"/>
        <v>0.10676616059478033</v>
      </c>
      <c r="M36" s="111">
        <f t="shared" si="0"/>
        <v>1.333576868763221</v>
      </c>
      <c r="N36" s="113">
        <f>'[6]Mensais 07-12 MOD''s'!K$41</f>
        <v>0</v>
      </c>
      <c r="O36" s="114">
        <f t="shared" si="11"/>
        <v>0</v>
      </c>
      <c r="P36" s="113">
        <f t="shared" si="1"/>
        <v>0</v>
      </c>
      <c r="Q36" s="108">
        <f t="shared" si="16"/>
        <v>80598.150515262823</v>
      </c>
      <c r="R36" s="108">
        <f t="shared" si="7"/>
        <v>0.26252314805460614</v>
      </c>
      <c r="S36" s="115">
        <f t="shared" si="2"/>
        <v>3.2790801487118464</v>
      </c>
      <c r="AT36" s="105"/>
      <c r="AU36" s="106" t="s">
        <v>37</v>
      </c>
      <c r="AV36" s="118">
        <f t="shared" si="3"/>
        <v>3.2790801487118464</v>
      </c>
      <c r="AW36" s="115">
        <f t="shared" si="4"/>
        <v>307013.5</v>
      </c>
    </row>
    <row r="37" spans="2:65" x14ac:dyDescent="0.25">
      <c r="B37" s="105"/>
      <c r="C37" s="106" t="s">
        <v>39</v>
      </c>
      <c r="D37" s="107">
        <f>[38]Folha1!$I$49</f>
        <v>69.218732489899423</v>
      </c>
      <c r="E37" s="108">
        <f>[38]Folha1!$Q$53</f>
        <v>381370.5</v>
      </c>
      <c r="F37" s="108">
        <f t="shared" si="15"/>
        <v>24579.5</v>
      </c>
      <c r="G37" s="107">
        <f t="shared" si="5"/>
        <v>2.816116377058094E-3</v>
      </c>
      <c r="H37" s="109">
        <f>'[6]Mensais 07-12 MOD''s'!L$29</f>
        <v>69312.893805126601</v>
      </c>
      <c r="I37" s="110">
        <f t="shared" si="9"/>
        <v>0.18174686769198614</v>
      </c>
      <c r="J37" s="109">
        <f t="shared" si="6"/>
        <v>2.8199472652058262</v>
      </c>
      <c r="K37" s="111">
        <f>'[6]Mensais 07-12 MOD''s'!L$35</f>
        <v>69755.928471988474</v>
      </c>
      <c r="L37" s="112">
        <f t="shared" si="10"/>
        <v>0.18290855866405104</v>
      </c>
      <c r="M37" s="111">
        <f t="shared" si="0"/>
        <v>2.8379718249756292</v>
      </c>
      <c r="N37" s="113">
        <f>'[6]Mensais 07-12 MOD''s'!L$41</f>
        <v>0</v>
      </c>
      <c r="O37" s="114">
        <f t="shared" si="11"/>
        <v>0</v>
      </c>
      <c r="P37" s="113">
        <f t="shared" si="1"/>
        <v>0</v>
      </c>
      <c r="Q37" s="108">
        <f t="shared" si="16"/>
        <v>139068.82227711508</v>
      </c>
      <c r="R37" s="108">
        <f t="shared" si="7"/>
        <v>0.36465542635603715</v>
      </c>
      <c r="S37" s="115">
        <f t="shared" si="2"/>
        <v>5.6579190901814549</v>
      </c>
      <c r="AT37" s="105"/>
      <c r="AU37" s="106" t="s">
        <v>39</v>
      </c>
      <c r="AV37" s="118">
        <f t="shared" si="3"/>
        <v>5.6579190901814549</v>
      </c>
      <c r="AW37" s="115">
        <f t="shared" si="4"/>
        <v>381370.5</v>
      </c>
    </row>
    <row r="38" spans="2:65" x14ac:dyDescent="0.25">
      <c r="B38" s="105"/>
      <c r="C38" s="106" t="s">
        <v>41</v>
      </c>
      <c r="D38" s="107">
        <f>[39]Folha1!$I$49</f>
        <v>70.049439724347607</v>
      </c>
      <c r="E38" s="108">
        <f>[39]Folha1!$Q$53</f>
        <v>422969</v>
      </c>
      <c r="F38" s="108">
        <f t="shared" si="15"/>
        <v>24579.5</v>
      </c>
      <c r="G38" s="107">
        <f t="shared" si="5"/>
        <v>2.849913127783218E-3</v>
      </c>
      <c r="H38" s="109">
        <f>'[6]Mensais 07-12 MOD''s'!M$29</f>
        <v>62547.279032584906</v>
      </c>
      <c r="I38" s="110">
        <f t="shared" si="9"/>
        <v>0.14787674518128965</v>
      </c>
      <c r="J38" s="109">
        <f t="shared" si="6"/>
        <v>2.5446928958109361</v>
      </c>
      <c r="K38" s="111">
        <f>'[6]Mensais 07-12 MOD''s'!M$35</f>
        <v>63414.795289946138</v>
      </c>
      <c r="L38" s="112">
        <f t="shared" si="10"/>
        <v>0.14992776134881311</v>
      </c>
      <c r="M38" s="111">
        <f t="shared" si="0"/>
        <v>2.5799871962385783</v>
      </c>
      <c r="N38" s="113">
        <f>'[6]Mensais 07-12 MOD''s'!M$41</f>
        <v>0</v>
      </c>
      <c r="O38" s="114">
        <f t="shared" si="11"/>
        <v>0</v>
      </c>
      <c r="P38" s="113">
        <f t="shared" si="1"/>
        <v>0</v>
      </c>
      <c r="Q38" s="108">
        <f t="shared" si="16"/>
        <v>125962.07432253104</v>
      </c>
      <c r="R38" s="108">
        <f t="shared" si="7"/>
        <v>0.29780450653010276</v>
      </c>
      <c r="S38" s="115">
        <f t="shared" si="2"/>
        <v>5.1246800920495144</v>
      </c>
      <c r="AT38" s="105"/>
      <c r="AU38" s="106" t="s">
        <v>41</v>
      </c>
      <c r="AV38" s="118">
        <f t="shared" si="3"/>
        <v>5.1246800920495144</v>
      </c>
      <c r="AW38" s="115">
        <f t="shared" si="4"/>
        <v>422969</v>
      </c>
      <c r="BJ38" s="87" t="s">
        <v>3</v>
      </c>
      <c r="BK38" s="87" t="s">
        <v>22</v>
      </c>
      <c r="BL38" s="87" t="s">
        <v>10</v>
      </c>
    </row>
    <row r="39" spans="2:65" x14ac:dyDescent="0.25">
      <c r="B39" s="105"/>
      <c r="C39" s="106" t="s">
        <v>43</v>
      </c>
      <c r="D39" s="107">
        <f>[40]Folha1!$I$49</f>
        <v>70.312778318440536</v>
      </c>
      <c r="E39" s="108">
        <f>[40]Folha1!$Q$53</f>
        <v>428426.5</v>
      </c>
      <c r="F39" s="108">
        <f t="shared" si="15"/>
        <v>24579.5</v>
      </c>
      <c r="G39" s="107">
        <f t="shared" si="5"/>
        <v>2.86062687680549E-3</v>
      </c>
      <c r="H39" s="109">
        <f>'[6]Mensais 07-12 MOD''s'!N$29</f>
        <v>67663.260650733806</v>
      </c>
      <c r="I39" s="110">
        <f t="shared" si="9"/>
        <v>0.15793434965095252</v>
      </c>
      <c r="J39" s="109">
        <f t="shared" si="6"/>
        <v>2.7528330784081776</v>
      </c>
      <c r="K39" s="111">
        <f>'[6]Mensais 07-12 MOD''s'!N$35</f>
        <v>49697.423875910317</v>
      </c>
      <c r="L39" s="112">
        <f t="shared" si="10"/>
        <v>0.11599988300422667</v>
      </c>
      <c r="M39" s="111">
        <f t="shared" si="0"/>
        <v>2.021905403930524</v>
      </c>
      <c r="N39" s="113">
        <f>'[6]Mensais 07-12 MOD''s'!N$41</f>
        <v>14262.839964488952</v>
      </c>
      <c r="O39" s="114">
        <f t="shared" si="11"/>
        <v>3.3291217897326503E-2</v>
      </c>
      <c r="P39" s="113">
        <f t="shared" si="1"/>
        <v>0.58027380396220229</v>
      </c>
      <c r="Q39" s="108">
        <f t="shared" si="16"/>
        <v>131623.52449113308</v>
      </c>
      <c r="R39" s="108">
        <f t="shared" si="7"/>
        <v>0.30722545055250572</v>
      </c>
      <c r="S39" s="115">
        <f t="shared" si="2"/>
        <v>5.3550122863009042</v>
      </c>
      <c r="AT39" s="105"/>
      <c r="AU39" s="106" t="s">
        <v>43</v>
      </c>
      <c r="AV39" s="118">
        <f t="shared" si="3"/>
        <v>5.3550122863009042</v>
      </c>
      <c r="AW39" s="115">
        <f t="shared" si="4"/>
        <v>428426.5</v>
      </c>
      <c r="BJ39" s="87">
        <v>2007</v>
      </c>
      <c r="BK39" s="136">
        <f>AVERAGE(AW8:AW10)</f>
        <v>402682.3666666667</v>
      </c>
      <c r="BL39" s="136">
        <f>AVERAGE(AV8:AV10)</f>
        <v>6.0802114283693198</v>
      </c>
    </row>
    <row r="40" spans="2:65" ht="15.75" thickBot="1" x14ac:dyDescent="0.3">
      <c r="B40" s="119"/>
      <c r="C40" s="120" t="s">
        <v>45</v>
      </c>
      <c r="D40" s="121">
        <f>[41]Folha1!$I$49</f>
        <v>69.412383618774726</v>
      </c>
      <c r="E40" s="122">
        <f>[41]Folha1!$Q$53</f>
        <v>404769</v>
      </c>
      <c r="F40" s="122">
        <f t="shared" si="15"/>
        <v>24579.5</v>
      </c>
      <c r="G40" s="121">
        <f t="shared" si="5"/>
        <v>2.8239949396356608E-3</v>
      </c>
      <c r="H40" s="123">
        <f>'[6]Mensais 07-12 MOD''s'!O$29</f>
        <v>61693.260825511112</v>
      </c>
      <c r="I40" s="124">
        <f t="shared" si="9"/>
        <v>0.15241597263009546</v>
      </c>
      <c r="J40" s="123">
        <f t="shared" si="6"/>
        <v>2.5099477542468769</v>
      </c>
      <c r="K40" s="125">
        <f>'[6]Mensais 07-12 MOD''s'!O$35</f>
        <v>36896.067248431551</v>
      </c>
      <c r="L40" s="126">
        <f t="shared" si="10"/>
        <v>9.1153391807256859E-2</v>
      </c>
      <c r="M40" s="125">
        <f t="shared" si="0"/>
        <v>1.5010910412511056</v>
      </c>
      <c r="N40" s="127">
        <f>'[6]Mensais 07-12 MOD''s'!O$41</f>
        <v>35080.835786601107</v>
      </c>
      <c r="O40" s="128">
        <f t="shared" si="11"/>
        <v>8.6668780925913555E-2</v>
      </c>
      <c r="P40" s="127">
        <f t="shared" si="1"/>
        <v>1.4272396015623225</v>
      </c>
      <c r="Q40" s="108">
        <f>SUM(H40,K40,N40)</f>
        <v>133670.16386054375</v>
      </c>
      <c r="R40" s="122">
        <f t="shared" si="7"/>
        <v>0.33023814536326584</v>
      </c>
      <c r="S40" s="129">
        <f t="shared" si="2"/>
        <v>5.4382783970603041</v>
      </c>
      <c r="AT40" s="119"/>
      <c r="AU40" s="120" t="s">
        <v>45</v>
      </c>
      <c r="AV40" s="130">
        <f t="shared" si="3"/>
        <v>5.4382783970603041</v>
      </c>
      <c r="AW40" s="129">
        <f t="shared" si="4"/>
        <v>404769</v>
      </c>
      <c r="BJ40" s="87">
        <v>2008</v>
      </c>
      <c r="BK40" s="136">
        <f>AVERAGE(AW20:AW22)</f>
        <v>401718.7</v>
      </c>
      <c r="BL40" s="136">
        <f>AVERAGE(AV20:AV22)</f>
        <v>4.8599396343012806</v>
      </c>
    </row>
    <row r="41" spans="2:65" ht="15" customHeight="1" x14ac:dyDescent="0.25">
      <c r="B41" s="88">
        <v>2010</v>
      </c>
      <c r="C41" s="131" t="s">
        <v>23</v>
      </c>
      <c r="D41" s="93">
        <f>[42]Folha1!$I$49</f>
        <v>69.179159781540534</v>
      </c>
      <c r="E41" s="132">
        <f>[42]Folha1!$Q$53</f>
        <v>427395.5</v>
      </c>
      <c r="F41" s="132">
        <f t="shared" si="15"/>
        <v>24579.5</v>
      </c>
      <c r="G41" s="93">
        <f t="shared" si="5"/>
        <v>2.8145063887198901E-3</v>
      </c>
      <c r="H41" s="94">
        <f>'[6]Mensais 07-12 MOD''s'!D$30</f>
        <v>60450.546916731269</v>
      </c>
      <c r="I41" s="133">
        <f t="shared" si="9"/>
        <v>0.1414393621756225</v>
      </c>
      <c r="J41" s="94">
        <f t="shared" si="6"/>
        <v>2.4593887962216998</v>
      </c>
      <c r="K41" s="96">
        <f>'[6]Mensais 07-12 MOD''s'!D$36</f>
        <v>42042.039141122645</v>
      </c>
      <c r="L41" s="134">
        <f t="shared" si="10"/>
        <v>9.8367996717613176E-2</v>
      </c>
      <c r="M41" s="96">
        <f t="shared" si="0"/>
        <v>1.7104513574776803</v>
      </c>
      <c r="N41" s="98">
        <f>'[6]Mensais 07-12 MOD''s'!D$42</f>
        <v>55153.090915238208</v>
      </c>
      <c r="O41" s="135">
        <f t="shared" si="11"/>
        <v>0.12904462240533232</v>
      </c>
      <c r="P41" s="98">
        <f t="shared" si="1"/>
        <v>2.2438654535380382</v>
      </c>
      <c r="Q41" s="132">
        <f>SUM(H41,K41,N41)</f>
        <v>157645.67697309214</v>
      </c>
      <c r="R41" s="132">
        <f t="shared" si="7"/>
        <v>0.36885198129856805</v>
      </c>
      <c r="S41" s="104">
        <f t="shared" si="2"/>
        <v>6.4137056072374188</v>
      </c>
      <c r="AT41" s="88">
        <v>2010</v>
      </c>
      <c r="AU41" s="131" t="s">
        <v>23</v>
      </c>
      <c r="AV41" s="103">
        <f t="shared" si="3"/>
        <v>6.4137056072374188</v>
      </c>
      <c r="AW41" s="104">
        <f t="shared" si="4"/>
        <v>427395.5</v>
      </c>
      <c r="BJ41" s="87">
        <v>2009</v>
      </c>
      <c r="BK41" s="136">
        <f>AVERAGE(AW32:AW34)</f>
        <v>400600.53333333338</v>
      </c>
      <c r="BL41" s="136">
        <f>AVERAGE(AV32:AV34)</f>
        <v>4.5356090835617247</v>
      </c>
    </row>
    <row r="42" spans="2:65" x14ac:dyDescent="0.25">
      <c r="B42" s="105"/>
      <c r="C42" s="106" t="s">
        <v>25</v>
      </c>
      <c r="D42" s="107">
        <f>[43]Folha1!$I$49</f>
        <v>70.601820839810756</v>
      </c>
      <c r="E42" s="108">
        <f>[43]Folha1!$Q$53</f>
        <v>411584.5</v>
      </c>
      <c r="F42" s="108">
        <f t="shared" si="15"/>
        <v>24579.5</v>
      </c>
      <c r="G42" s="107">
        <f t="shared" si="5"/>
        <v>2.872386372375791E-3</v>
      </c>
      <c r="H42" s="109">
        <f>'[6]Mensais 07-12 MOD''s'!E$30</f>
        <v>65299.333465937416</v>
      </c>
      <c r="I42" s="110">
        <f t="shared" si="9"/>
        <v>0.15865352914392408</v>
      </c>
      <c r="J42" s="109">
        <f t="shared" si="6"/>
        <v>2.6566583317780026</v>
      </c>
      <c r="K42" s="111">
        <f>'[6]Mensais 07-12 MOD''s'!E$36</f>
        <v>37182.149179966793</v>
      </c>
      <c r="L42" s="112">
        <f t="shared" si="10"/>
        <v>9.0339041387532307E-2</v>
      </c>
      <c r="M42" s="111">
        <f t="shared" si="0"/>
        <v>1.5127300872664942</v>
      </c>
      <c r="N42" s="113">
        <f>'[6]Mensais 07-12 MOD''s'!E$42</f>
        <v>53153.98805988198</v>
      </c>
      <c r="O42" s="114">
        <f t="shared" si="11"/>
        <v>0.12914477600561242</v>
      </c>
      <c r="P42" s="113">
        <f t="shared" si="1"/>
        <v>2.1625333330573029</v>
      </c>
      <c r="Q42" s="108">
        <f>SUM(H42,K42,N42)</f>
        <v>155635.4707057862</v>
      </c>
      <c r="R42" s="108">
        <f t="shared" si="7"/>
        <v>0.37813734653706882</v>
      </c>
      <c r="S42" s="115">
        <f t="shared" si="2"/>
        <v>6.3319217521017999</v>
      </c>
      <c r="AT42" s="105"/>
      <c r="AU42" s="106" t="s">
        <v>25</v>
      </c>
      <c r="AV42" s="118">
        <f t="shared" si="3"/>
        <v>6.3319217521017999</v>
      </c>
      <c r="AW42" s="115">
        <f t="shared" si="4"/>
        <v>411584.5</v>
      </c>
      <c r="BJ42" s="87">
        <v>2010</v>
      </c>
      <c r="BK42" s="136">
        <f>AVERAGE(AW44:AW46)</f>
        <v>394466.2</v>
      </c>
      <c r="BL42" s="136">
        <f>AVERAGE(AV44:AV46)</f>
        <v>4.5677141208572287</v>
      </c>
    </row>
    <row r="43" spans="2:65" x14ac:dyDescent="0.25">
      <c r="B43" s="105"/>
      <c r="C43" s="106" t="s">
        <v>27</v>
      </c>
      <c r="D43" s="107">
        <f>[44]Folha1!$I$49</f>
        <v>70.28369097936698</v>
      </c>
      <c r="E43" s="108">
        <f>[44]Folha1!$Q$53</f>
        <v>410405.5</v>
      </c>
      <c r="F43" s="108">
        <f t="shared" si="15"/>
        <v>24579.5</v>
      </c>
      <c r="G43" s="107">
        <f t="shared" si="5"/>
        <v>2.8594434784827592E-3</v>
      </c>
      <c r="H43" s="109">
        <f>'[6]Mensais 07-12 MOD''s'!F$30</f>
        <v>67684.398130534537</v>
      </c>
      <c r="I43" s="110">
        <f t="shared" si="9"/>
        <v>0.16492078719835512</v>
      </c>
      <c r="J43" s="109">
        <f t="shared" si="6"/>
        <v>2.7536930421910348</v>
      </c>
      <c r="K43" s="111">
        <f>'[6]Mensais 07-12 MOD''s'!F$36</f>
        <v>41491.263760286674</v>
      </c>
      <c r="L43" s="112">
        <f t="shared" si="10"/>
        <v>0.10109821569225236</v>
      </c>
      <c r="M43" s="111">
        <f t="shared" si="0"/>
        <v>1.6880434410906111</v>
      </c>
      <c r="N43" s="113">
        <f>'[6]Mensais 07-12 MOD''s'!F$42</f>
        <v>38671.59500104902</v>
      </c>
      <c r="O43" s="114">
        <f t="shared" si="11"/>
        <v>9.422776985456828E-2</v>
      </c>
      <c r="P43" s="113">
        <f t="shared" si="1"/>
        <v>1.573327162922314</v>
      </c>
      <c r="Q43" s="108">
        <f t="shared" ref="Q43:Q52" si="17">SUM(H43,K43,N43)</f>
        <v>147847.25689187023</v>
      </c>
      <c r="R43" s="108">
        <f t="shared" si="7"/>
        <v>0.36024677274517575</v>
      </c>
      <c r="S43" s="115">
        <f t="shared" si="2"/>
        <v>6.0150636462039602</v>
      </c>
      <c r="AT43" s="105"/>
      <c r="AU43" s="106" t="s">
        <v>27</v>
      </c>
      <c r="AV43" s="118">
        <f t="shared" si="3"/>
        <v>6.0150636462039602</v>
      </c>
      <c r="AW43" s="115">
        <f t="shared" si="4"/>
        <v>410405.5</v>
      </c>
      <c r="BJ43" s="87">
        <v>2011</v>
      </c>
      <c r="BK43" s="136">
        <f>AVERAGE(AW56:AW58)</f>
        <v>386550.3666666667</v>
      </c>
      <c r="BL43" s="136">
        <f>AVERAGE(AV56:AV58)</f>
        <v>4.4746102743547587</v>
      </c>
    </row>
    <row r="44" spans="2:65" x14ac:dyDescent="0.25">
      <c r="B44" s="105"/>
      <c r="C44" s="106" t="s">
        <v>29</v>
      </c>
      <c r="D44" s="107">
        <f>[45]Folha1!$I$49</f>
        <v>70.503022796307775</v>
      </c>
      <c r="E44" s="108">
        <f>[45]Folha1!$Q$53</f>
        <v>364996</v>
      </c>
      <c r="F44" s="108">
        <f t="shared" si="15"/>
        <v>24579.5</v>
      </c>
      <c r="G44" s="107">
        <f t="shared" si="5"/>
        <v>2.8683668421370561E-3</v>
      </c>
      <c r="H44" s="109">
        <f>'[6]Mensais 07-12 MOD''s'!G$30</f>
        <v>62269.690098627048</v>
      </c>
      <c r="I44" s="110">
        <f t="shared" si="9"/>
        <v>0.17060376031141999</v>
      </c>
      <c r="J44" s="109">
        <f t="shared" si="6"/>
        <v>2.5333993815426288</v>
      </c>
      <c r="K44" s="111">
        <f>'[6]Mensais 07-12 MOD''s'!G$36</f>
        <v>41592.774375356443</v>
      </c>
      <c r="L44" s="112">
        <f t="shared" si="10"/>
        <v>0.11395405531939101</v>
      </c>
      <c r="M44" s="111">
        <f t="shared" si="0"/>
        <v>1.692173330432126</v>
      </c>
      <c r="N44" s="113">
        <f>'[6]Mensais 07-12 MOD''s'!G$42</f>
        <v>4230.7828027557507</v>
      </c>
      <c r="O44" s="114">
        <f t="shared" si="11"/>
        <v>1.159131278906002E-2</v>
      </c>
      <c r="P44" s="113">
        <f t="shared" si="1"/>
        <v>0.17212647949534168</v>
      </c>
      <c r="Q44" s="108">
        <f t="shared" si="17"/>
        <v>108093.24727673925</v>
      </c>
      <c r="R44" s="108">
        <f t="shared" si="7"/>
        <v>0.29614912841987101</v>
      </c>
      <c r="S44" s="115">
        <f t="shared" si="2"/>
        <v>4.3976991914700969</v>
      </c>
      <c r="AT44" s="105"/>
      <c r="AU44" s="106" t="s">
        <v>29</v>
      </c>
      <c r="AV44" s="118">
        <f t="shared" si="3"/>
        <v>4.3976991914700969</v>
      </c>
      <c r="AW44" s="115">
        <f t="shared" si="4"/>
        <v>364996</v>
      </c>
      <c r="BJ44" s="87">
        <v>2012</v>
      </c>
      <c r="BK44" s="136">
        <f>AVERAGE(AW68:AW70)</f>
        <v>394210.2</v>
      </c>
      <c r="BL44" s="136">
        <f>AVERAGE(AV68:AV70)</f>
        <v>4.0265631417207191</v>
      </c>
    </row>
    <row r="45" spans="2:65" x14ac:dyDescent="0.25">
      <c r="B45" s="105"/>
      <c r="C45" s="106" t="s">
        <v>31</v>
      </c>
      <c r="D45" s="107">
        <f>[46]Folha1!$I$49</f>
        <v>70.92693061790618</v>
      </c>
      <c r="E45" s="108">
        <f>[46]Folha1!$Q$53</f>
        <v>424426</v>
      </c>
      <c r="F45" s="108">
        <f t="shared" si="15"/>
        <v>24579.5</v>
      </c>
      <c r="G45" s="107">
        <f t="shared" si="5"/>
        <v>2.8856132394030056E-3</v>
      </c>
      <c r="H45" s="109">
        <f>'[6]Mensais 07-12 MOD''s'!H$30</f>
        <v>67979.144897236838</v>
      </c>
      <c r="I45" s="110">
        <f t="shared" si="9"/>
        <v>0.16016724917238068</v>
      </c>
      <c r="J45" s="109">
        <f t="shared" si="6"/>
        <v>2.765684611047289</v>
      </c>
      <c r="K45" s="111">
        <f>'[6]Mensais 07-12 MOD''s'!H$36</f>
        <v>48588.905400472926</v>
      </c>
      <c r="L45" s="112">
        <f t="shared" si="10"/>
        <v>0.11448145354071836</v>
      </c>
      <c r="M45" s="111">
        <f t="shared" si="0"/>
        <v>1.976806094528893</v>
      </c>
      <c r="N45" s="113">
        <f>'[6]Mensais 07-12 MOD''s'!H$42</f>
        <v>0</v>
      </c>
      <c r="O45" s="114">
        <f t="shared" si="11"/>
        <v>0</v>
      </c>
      <c r="P45" s="113">
        <f t="shared" si="1"/>
        <v>0</v>
      </c>
      <c r="Q45" s="108">
        <f t="shared" si="17"/>
        <v>116568.05029770976</v>
      </c>
      <c r="R45" s="108">
        <f t="shared" si="7"/>
        <v>0.27464870271309899</v>
      </c>
      <c r="S45" s="115">
        <f t="shared" si="2"/>
        <v>4.7424907055761816</v>
      </c>
      <c r="AT45" s="105"/>
      <c r="AU45" s="106" t="s">
        <v>31</v>
      </c>
      <c r="AV45" s="118">
        <f t="shared" si="3"/>
        <v>4.7424907055761816</v>
      </c>
      <c r="AW45" s="115">
        <f t="shared" si="4"/>
        <v>424426</v>
      </c>
    </row>
    <row r="46" spans="2:65" ht="15" customHeight="1" x14ac:dyDescent="0.25">
      <c r="B46" s="105"/>
      <c r="C46" s="106" t="s">
        <v>33</v>
      </c>
      <c r="D46" s="107">
        <f>[47]Folha1!$I$49</f>
        <v>70.207221288350198</v>
      </c>
      <c r="E46" s="108">
        <f>[47]Folha1!$Q$53</f>
        <v>393976.60000000003</v>
      </c>
      <c r="F46" s="108">
        <f t="shared" si="15"/>
        <v>24579.5</v>
      </c>
      <c r="G46" s="107">
        <f t="shared" si="5"/>
        <v>2.8563323618605017E-3</v>
      </c>
      <c r="H46" s="109">
        <f>'[6]Mensais 07-12 MOD''s'!I$30</f>
        <v>62799.726157837911</v>
      </c>
      <c r="I46" s="110">
        <f t="shared" si="9"/>
        <v>0.15939963479515765</v>
      </c>
      <c r="J46" s="109">
        <f t="shared" si="6"/>
        <v>2.5549635329375255</v>
      </c>
      <c r="K46" s="111">
        <f>'[6]Mensais 07-12 MOD''s'!I$36</f>
        <v>49355.363968543876</v>
      </c>
      <c r="L46" s="112">
        <f t="shared" si="10"/>
        <v>0.12527486142208413</v>
      </c>
      <c r="M46" s="111">
        <f t="shared" si="0"/>
        <v>2.007988932587883</v>
      </c>
      <c r="N46" s="113">
        <f>'[6]Mensais 07-12 MOD''s'!I$42</f>
        <v>0</v>
      </c>
      <c r="O46" s="114">
        <f t="shared" si="11"/>
        <v>0</v>
      </c>
      <c r="P46" s="113">
        <f t="shared" si="1"/>
        <v>0</v>
      </c>
      <c r="Q46" s="108">
        <f t="shared" si="17"/>
        <v>112155.09012638178</v>
      </c>
      <c r="R46" s="108">
        <f t="shared" si="7"/>
        <v>0.28467449621724178</v>
      </c>
      <c r="S46" s="115">
        <f t="shared" si="2"/>
        <v>4.5629524655254086</v>
      </c>
      <c r="AT46" s="105"/>
      <c r="AU46" s="106" t="s">
        <v>33</v>
      </c>
      <c r="AV46" s="118">
        <f t="shared" si="3"/>
        <v>4.5629524655254086</v>
      </c>
      <c r="AW46" s="115">
        <f t="shared" si="4"/>
        <v>393976.60000000003</v>
      </c>
      <c r="BJ46" s="138"/>
      <c r="BK46" s="138"/>
      <c r="BL46" s="138"/>
      <c r="BM46" s="138"/>
    </row>
    <row r="47" spans="2:65" x14ac:dyDescent="0.25">
      <c r="B47" s="105"/>
      <c r="C47" s="106" t="s">
        <v>35</v>
      </c>
      <c r="D47" s="107">
        <f>[48]Folha1!$I$49</f>
        <v>70.015905949414901</v>
      </c>
      <c r="E47" s="108">
        <f>[48]Folha1!$Q$53</f>
        <v>381434.5</v>
      </c>
      <c r="F47" s="108">
        <f t="shared" si="15"/>
        <v>24579.5</v>
      </c>
      <c r="G47" s="107">
        <f t="shared" si="5"/>
        <v>2.8485488292851724E-3</v>
      </c>
      <c r="H47" s="109">
        <f>'[6]Mensais 07-12 MOD''s'!J$30</f>
        <v>57969.465852777925</v>
      </c>
      <c r="I47" s="110">
        <f t="shared" si="9"/>
        <v>0.15197751082499858</v>
      </c>
      <c r="J47" s="109">
        <f t="shared" si="6"/>
        <v>2.3584477248429758</v>
      </c>
      <c r="K47" s="111">
        <f>'[6]Mensais 07-12 MOD''s'!J$36</f>
        <v>50969.955866542194</v>
      </c>
      <c r="L47" s="112">
        <f t="shared" si="10"/>
        <v>0.13362702080315805</v>
      </c>
      <c r="M47" s="111">
        <f t="shared" si="0"/>
        <v>2.0736774900442319</v>
      </c>
      <c r="N47" s="113">
        <f>'[6]Mensais 07-12 MOD''s'!J$42</f>
        <v>0</v>
      </c>
      <c r="O47" s="114">
        <f t="shared" si="11"/>
        <v>0</v>
      </c>
      <c r="P47" s="113">
        <f t="shared" si="1"/>
        <v>0</v>
      </c>
      <c r="Q47" s="108">
        <f t="shared" si="17"/>
        <v>108939.42171932012</v>
      </c>
      <c r="R47" s="108">
        <f t="shared" si="7"/>
        <v>0.28560453162815663</v>
      </c>
      <c r="S47" s="115">
        <f t="shared" si="2"/>
        <v>4.4321252148872077</v>
      </c>
      <c r="AT47" s="105"/>
      <c r="AU47" s="106" t="s">
        <v>35</v>
      </c>
      <c r="AV47" s="118">
        <f t="shared" si="3"/>
        <v>4.4321252148872077</v>
      </c>
      <c r="AW47" s="115">
        <f t="shared" si="4"/>
        <v>381434.5</v>
      </c>
      <c r="BJ47" s="138"/>
      <c r="BK47" s="138"/>
      <c r="BL47" s="138"/>
      <c r="BM47" s="138"/>
    </row>
    <row r="48" spans="2:65" x14ac:dyDescent="0.25">
      <c r="B48" s="105"/>
      <c r="C48" s="106" t="s">
        <v>37</v>
      </c>
      <c r="D48" s="107">
        <f>[49]Folha1!$I$49</f>
        <v>66.283097360202206</v>
      </c>
      <c r="E48" s="108">
        <f>[49]Folha1!$Q$53</f>
        <v>295293.5</v>
      </c>
      <c r="F48" s="108">
        <f t="shared" si="15"/>
        <v>24579.5</v>
      </c>
      <c r="G48" s="107">
        <f t="shared" si="5"/>
        <v>2.6966820871133345E-3</v>
      </c>
      <c r="H48" s="109">
        <f>'[6]Mensais 07-12 MOD''s'!K$30</f>
        <v>51952.148907073039</v>
      </c>
      <c r="I48" s="110">
        <f t="shared" si="9"/>
        <v>0.17593393998538079</v>
      </c>
      <c r="J48" s="109">
        <f t="shared" si="6"/>
        <v>2.1136373362791367</v>
      </c>
      <c r="K48" s="111">
        <f>'[6]Mensais 07-12 MOD''s'!K$36</f>
        <v>39185.627260871879</v>
      </c>
      <c r="L48" s="112">
        <f t="shared" si="10"/>
        <v>0.13270060892255292</v>
      </c>
      <c r="M48" s="111">
        <f t="shared" si="0"/>
        <v>1.5942402107801981</v>
      </c>
      <c r="N48" s="113">
        <f>'[6]Mensais 07-12 MOD''s'!K$42</f>
        <v>0</v>
      </c>
      <c r="O48" s="114">
        <f t="shared" si="11"/>
        <v>0</v>
      </c>
      <c r="P48" s="113">
        <f t="shared" si="1"/>
        <v>0</v>
      </c>
      <c r="Q48" s="108">
        <f t="shared" si="17"/>
        <v>91137.776167944918</v>
      </c>
      <c r="R48" s="108">
        <f t="shared" si="7"/>
        <v>0.30863454890793368</v>
      </c>
      <c r="S48" s="115">
        <f t="shared" si="2"/>
        <v>3.7078775470593346</v>
      </c>
      <c r="AT48" s="105"/>
      <c r="AU48" s="106" t="s">
        <v>37</v>
      </c>
      <c r="AV48" s="118">
        <f t="shared" si="3"/>
        <v>3.7078775470593346</v>
      </c>
      <c r="AW48" s="115">
        <f t="shared" si="4"/>
        <v>295293.5</v>
      </c>
      <c r="BJ48" s="138"/>
      <c r="BK48" s="138"/>
      <c r="BL48" s="138"/>
      <c r="BM48" s="138"/>
    </row>
    <row r="49" spans="2:64" x14ac:dyDescent="0.25">
      <c r="B49" s="105"/>
      <c r="C49" s="106" t="s">
        <v>39</v>
      </c>
      <c r="D49" s="107">
        <f>[50]Folha1!$I$49</f>
        <v>69.521690406676697</v>
      </c>
      <c r="E49" s="108">
        <f>[50]Folha1!$Q$53</f>
        <v>366719</v>
      </c>
      <c r="F49" s="108">
        <f t="shared" si="15"/>
        <v>24579.5</v>
      </c>
      <c r="G49" s="107">
        <f t="shared" si="5"/>
        <v>2.8284420108902419E-3</v>
      </c>
      <c r="H49" s="109">
        <f>'[6]Mensais 07-12 MOD''s'!L$30</f>
        <v>50771.725552590673</v>
      </c>
      <c r="I49" s="110">
        <f t="shared" si="9"/>
        <v>0.13844858202763061</v>
      </c>
      <c r="J49" s="109">
        <f t="shared" si="6"/>
        <v>2.0656126264810379</v>
      </c>
      <c r="K49" s="111">
        <f>'[6]Mensais 07-12 MOD''s'!L$36</f>
        <v>51412.782085233477</v>
      </c>
      <c r="L49" s="112">
        <f t="shared" si="10"/>
        <v>0.14019666852612894</v>
      </c>
      <c r="M49" s="111">
        <f t="shared" si="0"/>
        <v>2.0916935692440237</v>
      </c>
      <c r="N49" s="113">
        <f>'[6]Mensais 07-12 MOD''s'!L$42</f>
        <v>0</v>
      </c>
      <c r="O49" s="114">
        <f t="shared" si="11"/>
        <v>0</v>
      </c>
      <c r="P49" s="113">
        <f t="shared" si="1"/>
        <v>0</v>
      </c>
      <c r="Q49" s="108">
        <f t="shared" si="17"/>
        <v>102184.50763782415</v>
      </c>
      <c r="R49" s="108">
        <f t="shared" si="7"/>
        <v>0.27864525055375955</v>
      </c>
      <c r="S49" s="115">
        <f t="shared" si="2"/>
        <v>4.1573061957250612</v>
      </c>
      <c r="AT49" s="105"/>
      <c r="AU49" s="106" t="s">
        <v>39</v>
      </c>
      <c r="AV49" s="118">
        <f t="shared" si="3"/>
        <v>4.1573061957250612</v>
      </c>
      <c r="AW49" s="115">
        <f t="shared" si="4"/>
        <v>366719</v>
      </c>
    </row>
    <row r="50" spans="2:64" x14ac:dyDescent="0.25">
      <c r="B50" s="105"/>
      <c r="C50" s="106" t="s">
        <v>41</v>
      </c>
      <c r="D50" s="107">
        <f>[51]Folha1!$I$49</f>
        <v>69.848227561623659</v>
      </c>
      <c r="E50" s="108">
        <f>[51]Folha1!$Q$53</f>
        <v>424495</v>
      </c>
      <c r="F50" s="108">
        <f t="shared" si="15"/>
        <v>24579.5</v>
      </c>
      <c r="G50" s="107">
        <f t="shared" si="5"/>
        <v>2.841726949759908E-3</v>
      </c>
      <c r="H50" s="109">
        <f>'[6]Mensais 07-12 MOD''s'!M$30</f>
        <v>63917.239187367886</v>
      </c>
      <c r="I50" s="110">
        <f t="shared" si="9"/>
        <v>0.1505724194333688</v>
      </c>
      <c r="J50" s="109">
        <f t="shared" si="6"/>
        <v>2.6004287795670331</v>
      </c>
      <c r="K50" s="111">
        <f>'[6]Mensais 07-12 MOD''s'!M$36</f>
        <v>52251.55224474796</v>
      </c>
      <c r="L50" s="112">
        <f t="shared" si="10"/>
        <v>0.12309108998868765</v>
      </c>
      <c r="M50" s="111">
        <f t="shared" si="0"/>
        <v>2.1258183545128242</v>
      </c>
      <c r="N50" s="113">
        <f>'[6]Mensais 07-12 MOD''s'!M$42</f>
        <v>0</v>
      </c>
      <c r="O50" s="114">
        <f t="shared" si="11"/>
        <v>0</v>
      </c>
      <c r="P50" s="113">
        <f t="shared" si="1"/>
        <v>0</v>
      </c>
      <c r="Q50" s="108">
        <f t="shared" si="17"/>
        <v>116168.79143211585</v>
      </c>
      <c r="R50" s="108">
        <f t="shared" si="7"/>
        <v>0.27366350942205642</v>
      </c>
      <c r="S50" s="115">
        <f t="shared" si="2"/>
        <v>4.7262471340798573</v>
      </c>
      <c r="AT50" s="105"/>
      <c r="AU50" s="106" t="s">
        <v>41</v>
      </c>
      <c r="AV50" s="118">
        <f t="shared" si="3"/>
        <v>4.7262471340798573</v>
      </c>
      <c r="AW50" s="115">
        <f t="shared" si="4"/>
        <v>424495</v>
      </c>
    </row>
    <row r="51" spans="2:64" x14ac:dyDescent="0.25">
      <c r="B51" s="105"/>
      <c r="C51" s="106" t="s">
        <v>43</v>
      </c>
      <c r="D51" s="107">
        <f>[52]Folha1!$I$49</f>
        <v>70.65726896497489</v>
      </c>
      <c r="E51" s="108">
        <f>[52]Folha1!$Q$53</f>
        <v>399472.5</v>
      </c>
      <c r="F51" s="108">
        <f t="shared" si="15"/>
        <v>24579.5</v>
      </c>
      <c r="G51" s="107">
        <f t="shared" si="5"/>
        <v>2.8746422410941999E-3</v>
      </c>
      <c r="H51" s="109">
        <f>'[6]Mensais 07-12 MOD''s'!N$30</f>
        <v>47266.305224352895</v>
      </c>
      <c r="I51" s="110">
        <f t="shared" si="9"/>
        <v>0.11832179993454592</v>
      </c>
      <c r="J51" s="109">
        <f t="shared" si="6"/>
        <v>1.9229970188308507</v>
      </c>
      <c r="K51" s="111">
        <f>'[6]Mensais 07-12 MOD''s'!N$36</f>
        <v>35303.52485232507</v>
      </c>
      <c r="L51" s="112">
        <f t="shared" si="10"/>
        <v>8.8375357133031865E-2</v>
      </c>
      <c r="M51" s="111">
        <f t="shared" si="0"/>
        <v>1.4362995525671829</v>
      </c>
      <c r="N51" s="113">
        <f>'[6]Mensais 07-12 MOD''s'!N$42</f>
        <v>13345.566426463309</v>
      </c>
      <c r="O51" s="114">
        <f t="shared" si="11"/>
        <v>3.3407972830328266E-2</v>
      </c>
      <c r="P51" s="113">
        <f t="shared" si="1"/>
        <v>0.54295516289848489</v>
      </c>
      <c r="Q51" s="108">
        <f t="shared" si="17"/>
        <v>95915.396503141266</v>
      </c>
      <c r="R51" s="108">
        <f t="shared" si="7"/>
        <v>0.24010512989790603</v>
      </c>
      <c r="S51" s="115">
        <f t="shared" si="2"/>
        <v>3.9022517342965179</v>
      </c>
      <c r="AT51" s="105"/>
      <c r="AU51" s="106" t="s">
        <v>43</v>
      </c>
      <c r="AV51" s="118">
        <f t="shared" si="3"/>
        <v>3.9022517342965179</v>
      </c>
      <c r="AW51" s="115">
        <f t="shared" si="4"/>
        <v>399472.5</v>
      </c>
    </row>
    <row r="52" spans="2:64" ht="15.75" thickBot="1" x14ac:dyDescent="0.3">
      <c r="B52" s="119"/>
      <c r="C52" s="120" t="s">
        <v>45</v>
      </c>
      <c r="D52" s="121">
        <f>[53]Folha1!$I$49</f>
        <v>69.35524777416596</v>
      </c>
      <c r="E52" s="122">
        <f>[53]Folha1!$Q$53</f>
        <v>391737</v>
      </c>
      <c r="F52" s="122">
        <f t="shared" si="15"/>
        <v>24579.5</v>
      </c>
      <c r="G52" s="121">
        <f t="shared" si="5"/>
        <v>2.8216704072160119E-3</v>
      </c>
      <c r="H52" s="123">
        <f>'[6]Mensais 07-12 MOD''s'!O$30</f>
        <v>54848.513210417281</v>
      </c>
      <c r="I52" s="124">
        <f t="shared" si="9"/>
        <v>0.14001361426267439</v>
      </c>
      <c r="J52" s="123">
        <f t="shared" si="6"/>
        <v>2.2314739197468332</v>
      </c>
      <c r="K52" s="125">
        <f>'[6]Mensais 07-12 MOD''s'!O$36</f>
        <v>34273.386791912373</v>
      </c>
      <c r="L52" s="126">
        <f t="shared" si="10"/>
        <v>8.7490808353340055E-2</v>
      </c>
      <c r="M52" s="125">
        <f t="shared" si="0"/>
        <v>1.3943890962758547</v>
      </c>
      <c r="N52" s="127">
        <f>'[6]Mensais 07-12 MOD''s'!O$42</f>
        <v>39029.459269235645</v>
      </c>
      <c r="O52" s="128">
        <f t="shared" si="11"/>
        <v>9.9631791914564227E-2</v>
      </c>
      <c r="P52" s="127">
        <f t="shared" si="1"/>
        <v>1.5878866237814295</v>
      </c>
      <c r="Q52" s="108">
        <f t="shared" si="17"/>
        <v>128151.35927156531</v>
      </c>
      <c r="R52" s="122">
        <f t="shared" si="7"/>
        <v>0.32713621453057867</v>
      </c>
      <c r="S52" s="129">
        <f t="shared" si="2"/>
        <v>5.2137496398041172</v>
      </c>
      <c r="AT52" s="119"/>
      <c r="AU52" s="120" t="s">
        <v>45</v>
      </c>
      <c r="AV52" s="130">
        <f t="shared" si="3"/>
        <v>5.2137496398041172</v>
      </c>
      <c r="AW52" s="129">
        <f t="shared" si="4"/>
        <v>391737</v>
      </c>
    </row>
    <row r="53" spans="2:64" ht="15" customHeight="1" x14ac:dyDescent="0.25">
      <c r="B53" s="88">
        <v>2011</v>
      </c>
      <c r="C53" s="131" t="s">
        <v>23</v>
      </c>
      <c r="D53" s="93">
        <f>[54]Folha1!$I$49</f>
        <v>69.111578522782509</v>
      </c>
      <c r="E53" s="132">
        <f>[54]Folha1!$Q$53</f>
        <v>432653.5</v>
      </c>
      <c r="F53" s="132">
        <f t="shared" si="15"/>
        <v>24579.5</v>
      </c>
      <c r="G53" s="93">
        <f t="shared" si="5"/>
        <v>2.8117568918319133E-3</v>
      </c>
      <c r="H53" s="94">
        <f>'[6]Mensais 07-12 MOD''s'!D$31</f>
        <v>65212.21665669122</v>
      </c>
      <c r="I53" s="133">
        <f t="shared" si="9"/>
        <v>0.150726196960596</v>
      </c>
      <c r="J53" s="94">
        <f t="shared" si="6"/>
        <v>2.6531140444960726</v>
      </c>
      <c r="K53" s="96">
        <f>'[6]Mensais 07-12 MOD''s'!D$37</f>
        <v>43693.134752849845</v>
      </c>
      <c r="L53" s="134">
        <f t="shared" si="10"/>
        <v>0.10098874677507484</v>
      </c>
      <c r="M53" s="96">
        <f t="shared" si="0"/>
        <v>1.7776250433430234</v>
      </c>
      <c r="N53" s="98">
        <f>'[6]Mensais 07-12 MOD''s'!D$43</f>
        <v>65617.485752031207</v>
      </c>
      <c r="O53" s="135">
        <f t="shared" si="11"/>
        <v>0.15166290288193948</v>
      </c>
      <c r="P53" s="98">
        <f t="shared" si="1"/>
        <v>2.6696021380431336</v>
      </c>
      <c r="Q53" s="132">
        <f>SUM(H53,K53,N53)</f>
        <v>174522.83716157227</v>
      </c>
      <c r="R53" s="132">
        <f t="shared" si="7"/>
        <v>0.40337784661761034</v>
      </c>
      <c r="S53" s="104">
        <f t="shared" si="2"/>
        <v>7.1003412258822296</v>
      </c>
      <c r="AT53" s="88">
        <v>2011</v>
      </c>
      <c r="AU53" s="131" t="s">
        <v>23</v>
      </c>
      <c r="AV53" s="103">
        <f t="shared" si="3"/>
        <v>7.1003412258822296</v>
      </c>
      <c r="AW53" s="104">
        <f t="shared" si="4"/>
        <v>432653.5</v>
      </c>
    </row>
    <row r="54" spans="2:64" x14ac:dyDescent="0.25">
      <c r="B54" s="105"/>
      <c r="C54" s="106" t="s">
        <v>25</v>
      </c>
      <c r="D54" s="107">
        <f>[55]Folha1!$I$49</f>
        <v>71.09968697733008</v>
      </c>
      <c r="E54" s="108">
        <f>[55]Folha1!$Q$53</f>
        <v>390712.5</v>
      </c>
      <c r="F54" s="108">
        <f t="shared" si="15"/>
        <v>24579.5</v>
      </c>
      <c r="G54" s="107">
        <f t="shared" si="5"/>
        <v>2.8926417127008311E-3</v>
      </c>
      <c r="H54" s="109">
        <f>'[6]Mensais 07-12 MOD''s'!E$31</f>
        <v>68151.258984830682</v>
      </c>
      <c r="I54" s="110">
        <f t="shared" si="9"/>
        <v>0.1744281510953212</v>
      </c>
      <c r="J54" s="109">
        <f t="shared" si="6"/>
        <v>2.7726869539588144</v>
      </c>
      <c r="K54" s="111">
        <f>'[6]Mensais 07-12 MOD''s'!E$37</f>
        <v>26197.960584204699</v>
      </c>
      <c r="L54" s="112">
        <f t="shared" si="10"/>
        <v>6.7051759501435701E-2</v>
      </c>
      <c r="M54" s="111">
        <f t="shared" si="0"/>
        <v>1.0658459522856323</v>
      </c>
      <c r="N54" s="113">
        <f>'[6]Mensais 07-12 MOD''s'!E$43</f>
        <v>27117.697586190854</v>
      </c>
      <c r="O54" s="114">
        <f t="shared" si="11"/>
        <v>6.9405758930648126E-2</v>
      </c>
      <c r="P54" s="113">
        <f t="shared" si="1"/>
        <v>1.1032648176810291</v>
      </c>
      <c r="Q54" s="108">
        <f>SUM(H54,K54,N54)</f>
        <v>121466.91715522624</v>
      </c>
      <c r="R54" s="108">
        <f t="shared" si="7"/>
        <v>0.31088566952740504</v>
      </c>
      <c r="S54" s="115">
        <f t="shared" si="2"/>
        <v>4.9417977239254762</v>
      </c>
      <c r="AT54" s="105"/>
      <c r="AU54" s="106" t="s">
        <v>25</v>
      </c>
      <c r="AV54" s="118">
        <f t="shared" si="3"/>
        <v>4.9417977239254762</v>
      </c>
      <c r="AW54" s="115">
        <f t="shared" si="4"/>
        <v>390712.5</v>
      </c>
    </row>
    <row r="55" spans="2:64" x14ac:dyDescent="0.25">
      <c r="B55" s="105"/>
      <c r="C55" s="106" t="s">
        <v>27</v>
      </c>
      <c r="D55" s="107">
        <f>[56]Folha1!$I$49</f>
        <v>69.874369636379726</v>
      </c>
      <c r="E55" s="108">
        <f>[56]Folha1!$Q$53</f>
        <v>384218</v>
      </c>
      <c r="F55" s="108">
        <f t="shared" si="15"/>
        <v>24579.5</v>
      </c>
      <c r="G55" s="107">
        <f t="shared" si="5"/>
        <v>2.8427905220358317E-3</v>
      </c>
      <c r="H55" s="109">
        <f>'[6]Mensais 07-12 MOD''s'!F$31</f>
        <v>61351.292480627497</v>
      </c>
      <c r="I55" s="110">
        <f t="shared" si="9"/>
        <v>0.15967834011063381</v>
      </c>
      <c r="J55" s="109">
        <f t="shared" si="6"/>
        <v>2.4960350080606806</v>
      </c>
      <c r="K55" s="111">
        <f>'[6]Mensais 07-12 MOD''s'!F$37</f>
        <v>28155.137263316341</v>
      </c>
      <c r="L55" s="112">
        <f t="shared" si="10"/>
        <v>7.3279068818525792E-2</v>
      </c>
      <c r="M55" s="111">
        <f t="shared" si="0"/>
        <v>1.1454723352109011</v>
      </c>
      <c r="N55" s="113">
        <f>'[6]Mensais 07-12 MOD''s'!F$43</f>
        <v>14129.833724041237</v>
      </c>
      <c r="O55" s="114">
        <f t="shared" si="11"/>
        <v>3.6775564195433937E-2</v>
      </c>
      <c r="P55" s="113">
        <f t="shared" si="1"/>
        <v>0.57486253683114941</v>
      </c>
      <c r="Q55" s="108">
        <f t="shared" ref="Q55:Q64" si="18">SUM(H55,K55,N55)</f>
        <v>103636.26346798507</v>
      </c>
      <c r="R55" s="108">
        <f t="shared" si="7"/>
        <v>0.26973297312459354</v>
      </c>
      <c r="S55" s="115">
        <f t="shared" si="2"/>
        <v>4.2163698801027305</v>
      </c>
      <c r="AT55" s="105"/>
      <c r="AU55" s="106" t="s">
        <v>27</v>
      </c>
      <c r="AV55" s="118">
        <f t="shared" si="3"/>
        <v>4.2163698801027305</v>
      </c>
      <c r="AW55" s="115">
        <f t="shared" si="4"/>
        <v>384218</v>
      </c>
      <c r="BJ55" s="87" t="s">
        <v>3</v>
      </c>
      <c r="BK55" s="87" t="s">
        <v>22</v>
      </c>
      <c r="BL55" s="87" t="s">
        <v>10</v>
      </c>
    </row>
    <row r="56" spans="2:64" x14ac:dyDescent="0.25">
      <c r="B56" s="105"/>
      <c r="C56" s="106" t="s">
        <v>29</v>
      </c>
      <c r="D56" s="107">
        <f>[57]Folha1!$I$49</f>
        <v>69.692647969565598</v>
      </c>
      <c r="E56" s="108">
        <f>[57]Folha1!$Q$53</f>
        <v>353458</v>
      </c>
      <c r="F56" s="108">
        <f t="shared" si="15"/>
        <v>24579.5</v>
      </c>
      <c r="G56" s="107">
        <f t="shared" si="5"/>
        <v>2.835397301392038E-3</v>
      </c>
      <c r="H56" s="109">
        <f>'[6]Mensais 07-12 MOD''s'!G$31</f>
        <v>57223.041522382657</v>
      </c>
      <c r="I56" s="110">
        <f t="shared" si="9"/>
        <v>0.16189488290654805</v>
      </c>
      <c r="J56" s="109">
        <f t="shared" si="6"/>
        <v>2.3280799659221163</v>
      </c>
      <c r="K56" s="111">
        <f>'[6]Mensais 07-12 MOD''s'!G$37</f>
        <v>36977.347731536611</v>
      </c>
      <c r="L56" s="112">
        <f t="shared" si="10"/>
        <v>0.10461595926966319</v>
      </c>
      <c r="M56" s="111">
        <f t="shared" si="0"/>
        <v>1.5043978816304893</v>
      </c>
      <c r="N56" s="113">
        <f>'[6]Mensais 07-12 MOD''s'!G$43</f>
        <v>0</v>
      </c>
      <c r="O56" s="114">
        <f t="shared" si="11"/>
        <v>0</v>
      </c>
      <c r="P56" s="113">
        <f t="shared" si="1"/>
        <v>0</v>
      </c>
      <c r="Q56" s="108">
        <f t="shared" si="18"/>
        <v>94200.389253919275</v>
      </c>
      <c r="R56" s="108">
        <f t="shared" si="7"/>
        <v>0.26651084217621124</v>
      </c>
      <c r="S56" s="115">
        <f t="shared" si="2"/>
        <v>3.8324778475526058</v>
      </c>
      <c r="AT56" s="105"/>
      <c r="AU56" s="106" t="s">
        <v>29</v>
      </c>
      <c r="AV56" s="118">
        <f t="shared" si="3"/>
        <v>3.8324778475526058</v>
      </c>
      <c r="AW56" s="115">
        <f t="shared" si="4"/>
        <v>353458</v>
      </c>
      <c r="BJ56" s="87">
        <v>2007</v>
      </c>
      <c r="BK56" s="136">
        <f>AVERAGE(AW11,AW13)</f>
        <v>388407</v>
      </c>
      <c r="BL56" s="136">
        <f>AVERAGE(AV11,AV13)</f>
        <v>5.9962985020835067</v>
      </c>
    </row>
    <row r="57" spans="2:64" x14ac:dyDescent="0.25">
      <c r="B57" s="105"/>
      <c r="C57" s="106" t="s">
        <v>31</v>
      </c>
      <c r="D57" s="107">
        <f>[58]Folha1!$I$49</f>
        <v>70.213474584252538</v>
      </c>
      <c r="E57" s="108">
        <f>[58]Folha1!$Q$53</f>
        <v>419752</v>
      </c>
      <c r="F57" s="108">
        <f t="shared" si="15"/>
        <v>24579.5</v>
      </c>
      <c r="G57" s="107">
        <f t="shared" si="5"/>
        <v>2.8565867728901134E-3</v>
      </c>
      <c r="H57" s="109">
        <f>'[6]Mensais 07-12 MOD''s'!H$31</f>
        <v>68505.60576887583</v>
      </c>
      <c r="I57" s="110">
        <f t="shared" si="9"/>
        <v>0.16320495380337874</v>
      </c>
      <c r="J57" s="109">
        <f t="shared" si="6"/>
        <v>2.7871033084023611</v>
      </c>
      <c r="K57" s="111">
        <f>'[6]Mensais 07-12 MOD''s'!H$37</f>
        <v>61602.460319967562</v>
      </c>
      <c r="L57" s="112">
        <f t="shared" si="10"/>
        <v>0.1467591823742771</v>
      </c>
      <c r="M57" s="111">
        <f t="shared" si="0"/>
        <v>2.5062535983224867</v>
      </c>
      <c r="N57" s="113">
        <f>'[6]Mensais 07-12 MOD''s'!H$43</f>
        <v>0</v>
      </c>
      <c r="O57" s="114">
        <f t="shared" si="11"/>
        <v>0</v>
      </c>
      <c r="P57" s="113">
        <f t="shared" si="1"/>
        <v>0</v>
      </c>
      <c r="Q57" s="108">
        <f t="shared" si="18"/>
        <v>130108.06608884339</v>
      </c>
      <c r="R57" s="108">
        <f t="shared" si="7"/>
        <v>0.30996413617765584</v>
      </c>
      <c r="S57" s="115">
        <f t="shared" si="2"/>
        <v>5.2933569067248474</v>
      </c>
      <c r="AT57" s="105"/>
      <c r="AU57" s="106" t="s">
        <v>31</v>
      </c>
      <c r="AV57" s="118">
        <f t="shared" si="3"/>
        <v>5.2933569067248474</v>
      </c>
      <c r="AW57" s="115">
        <f t="shared" si="4"/>
        <v>419752</v>
      </c>
      <c r="BJ57" s="87">
        <v>2008</v>
      </c>
      <c r="BK57" s="136">
        <f>AVERAGE(AW23,AW25)</f>
        <v>396873</v>
      </c>
      <c r="BL57" s="136">
        <f>AVERAGE(AV23,AV25)</f>
        <v>5.1198781045001329</v>
      </c>
    </row>
    <row r="58" spans="2:64" x14ac:dyDescent="0.25">
      <c r="B58" s="105"/>
      <c r="C58" s="106" t="s">
        <v>33</v>
      </c>
      <c r="D58" s="107">
        <f>[59]Folha1!$I$49</f>
        <v>70.192348147492794</v>
      </c>
      <c r="E58" s="108">
        <f>[59]Folha1!$Q$53</f>
        <v>386441.10000000003</v>
      </c>
      <c r="F58" s="108">
        <f t="shared" si="15"/>
        <v>24579.5</v>
      </c>
      <c r="G58" s="107">
        <f t="shared" si="5"/>
        <v>2.8557272583857604E-3</v>
      </c>
      <c r="H58" s="109">
        <f>'[6]Mensais 07-12 MOD''s'!I$31</f>
        <v>57648.060683418938</v>
      </c>
      <c r="I58" s="110">
        <f t="shared" si="9"/>
        <v>0.14917683622010944</v>
      </c>
      <c r="J58" s="109">
        <f t="shared" si="6"/>
        <v>2.3453715772663779</v>
      </c>
      <c r="K58" s="111">
        <f>'[6]Mensais 07-12 MOD''s'!I$37</f>
        <v>47994.533689326774</v>
      </c>
      <c r="L58" s="112">
        <f t="shared" si="10"/>
        <v>0.12419624540279688</v>
      </c>
      <c r="M58" s="111">
        <f t="shared" si="0"/>
        <v>1.9526244915204449</v>
      </c>
      <c r="N58" s="113">
        <f>'[6]Mensais 07-12 MOD''s'!I$43</f>
        <v>0</v>
      </c>
      <c r="O58" s="114">
        <f t="shared" si="11"/>
        <v>0</v>
      </c>
      <c r="P58" s="113">
        <f t="shared" si="1"/>
        <v>0</v>
      </c>
      <c r="Q58" s="108">
        <f t="shared" si="18"/>
        <v>105642.59437274572</v>
      </c>
      <c r="R58" s="108">
        <f t="shared" si="7"/>
        <v>0.27337308162290636</v>
      </c>
      <c r="S58" s="115">
        <f t="shared" si="2"/>
        <v>4.2979960687868228</v>
      </c>
      <c r="AT58" s="105"/>
      <c r="AU58" s="106" t="s">
        <v>33</v>
      </c>
      <c r="AV58" s="118">
        <f t="shared" si="3"/>
        <v>4.2979960687868228</v>
      </c>
      <c r="AW58" s="115">
        <f t="shared" si="4"/>
        <v>386441.10000000003</v>
      </c>
      <c r="BJ58" s="87">
        <v>2009</v>
      </c>
      <c r="BK58" s="136">
        <f>AVERAGE(AW35,AW37)</f>
        <v>388316.5</v>
      </c>
      <c r="BL58" s="136">
        <f>AVERAGE(AV35,AV37)</f>
        <v>5.0683606465377338</v>
      </c>
    </row>
    <row r="59" spans="2:64" x14ac:dyDescent="0.25">
      <c r="B59" s="105"/>
      <c r="C59" s="106" t="s">
        <v>35</v>
      </c>
      <c r="D59" s="107">
        <f>[60]Folha1!$I$49</f>
        <v>68.522715921836337</v>
      </c>
      <c r="E59" s="108">
        <f>[60]Folha1!$Q$53</f>
        <v>382575.5</v>
      </c>
      <c r="F59" s="108">
        <f t="shared" si="15"/>
        <v>24579.5</v>
      </c>
      <c r="G59" s="107">
        <f t="shared" si="5"/>
        <v>2.7877994231711931E-3</v>
      </c>
      <c r="H59" s="109">
        <f>'[6]Mensais 07-12 MOD''s'!J$31</f>
        <v>51749.575150142453</v>
      </c>
      <c r="I59" s="110">
        <f t="shared" si="9"/>
        <v>0.13526630730442082</v>
      </c>
      <c r="J59" s="109">
        <f t="shared" si="6"/>
        <v>2.1053957627348989</v>
      </c>
      <c r="K59" s="111">
        <f>'[6]Mensais 07-12 MOD''s'!J$37</f>
        <v>38807.771366610839</v>
      </c>
      <c r="L59" s="112">
        <f t="shared" si="10"/>
        <v>0.10143820335230781</v>
      </c>
      <c r="M59" s="111">
        <f t="shared" si="0"/>
        <v>1.5788674044065518</v>
      </c>
      <c r="N59" s="113">
        <f>'[6]Mensais 07-12 MOD''s'!J$43</f>
        <v>0</v>
      </c>
      <c r="O59" s="114">
        <f t="shared" si="11"/>
        <v>0</v>
      </c>
      <c r="P59" s="113">
        <f t="shared" si="1"/>
        <v>0</v>
      </c>
      <c r="Q59" s="108">
        <f t="shared" si="18"/>
        <v>90557.346516753285</v>
      </c>
      <c r="R59" s="108">
        <f t="shared" si="7"/>
        <v>0.23670451065672862</v>
      </c>
      <c r="S59" s="115">
        <f t="shared" si="2"/>
        <v>3.6842631671414505</v>
      </c>
      <c r="AT59" s="105"/>
      <c r="AU59" s="106" t="s">
        <v>35</v>
      </c>
      <c r="AV59" s="118">
        <f t="shared" si="3"/>
        <v>3.6842631671414505</v>
      </c>
      <c r="AW59" s="115">
        <f t="shared" si="4"/>
        <v>382575.5</v>
      </c>
      <c r="BJ59" s="87">
        <v>2010</v>
      </c>
      <c r="BK59" s="136">
        <f>AVERAGE(AW47,AW49)</f>
        <v>374076.75</v>
      </c>
      <c r="BL59" s="136">
        <f>AVERAGE(AV47,AV49)</f>
        <v>4.2947157053061344</v>
      </c>
    </row>
    <row r="60" spans="2:64" x14ac:dyDescent="0.25">
      <c r="B60" s="105"/>
      <c r="C60" s="106" t="s">
        <v>37</v>
      </c>
      <c r="D60" s="107">
        <f>[61]Folha1!$I$49</f>
        <v>66.322339011719222</v>
      </c>
      <c r="E60" s="108">
        <f>[61]Folha1!$Q$53</f>
        <v>294786.5</v>
      </c>
      <c r="F60" s="108">
        <f t="shared" si="15"/>
        <v>24579.5</v>
      </c>
      <c r="G60" s="107">
        <f t="shared" si="5"/>
        <v>2.6982786066323248E-3</v>
      </c>
      <c r="H60" s="109">
        <f>'[6]Mensais 07-12 MOD''s'!K$31</f>
        <v>43298.950189800031</v>
      </c>
      <c r="I60" s="110">
        <f t="shared" si="9"/>
        <v>0.1468824053672744</v>
      </c>
      <c r="J60" s="109">
        <f t="shared" si="6"/>
        <v>1.7615879163449228</v>
      </c>
      <c r="K60" s="111">
        <f>'[6]Mensais 07-12 MOD''s'!K$37</f>
        <v>22423.580126002165</v>
      </c>
      <c r="L60" s="112">
        <f t="shared" si="10"/>
        <v>7.6067188036094482E-2</v>
      </c>
      <c r="M60" s="111">
        <f t="shared" si="0"/>
        <v>0.91228788730454913</v>
      </c>
      <c r="N60" s="113">
        <f>'[6]Mensais 07-12 MOD''s'!K$43</f>
        <v>0</v>
      </c>
      <c r="O60" s="114">
        <f t="shared" si="11"/>
        <v>0</v>
      </c>
      <c r="P60" s="113">
        <f t="shared" si="1"/>
        <v>0</v>
      </c>
      <c r="Q60" s="108">
        <f t="shared" si="18"/>
        <v>65722.5303158022</v>
      </c>
      <c r="R60" s="108">
        <f t="shared" si="7"/>
        <v>0.22294959340336887</v>
      </c>
      <c r="S60" s="115">
        <f t="shared" si="2"/>
        <v>2.6738758036494721</v>
      </c>
      <c r="AT60" s="105"/>
      <c r="AU60" s="106" t="s">
        <v>37</v>
      </c>
      <c r="AV60" s="118">
        <f t="shared" si="3"/>
        <v>2.6738758036494721</v>
      </c>
      <c r="AW60" s="115">
        <f t="shared" si="4"/>
        <v>294786.5</v>
      </c>
      <c r="BJ60" s="87">
        <v>2011</v>
      </c>
      <c r="BK60" s="136">
        <f>AVERAGE(AW59,AW61)</f>
        <v>373106.75</v>
      </c>
      <c r="BL60" s="136">
        <f>AVERAGE(AV59,AV61)</f>
        <v>3.4159028279157946</v>
      </c>
    </row>
    <row r="61" spans="2:64" x14ac:dyDescent="0.25">
      <c r="B61" s="105"/>
      <c r="C61" s="106" t="s">
        <v>39</v>
      </c>
      <c r="D61" s="107">
        <f>[62]Folha1!$I$49</f>
        <v>68.918084677617543</v>
      </c>
      <c r="E61" s="108">
        <f>[62]Folha1!$Q$53</f>
        <v>363638</v>
      </c>
      <c r="F61" s="108">
        <f t="shared" si="15"/>
        <v>24579.5</v>
      </c>
      <c r="G61" s="107">
        <f t="shared" si="5"/>
        <v>2.8038847282335906E-3</v>
      </c>
      <c r="H61" s="109">
        <f>'[6]Mensais 07-12 MOD''s'!L$31</f>
        <v>45564.89323833424</v>
      </c>
      <c r="I61" s="110">
        <f t="shared" si="9"/>
        <v>0.12530289254240271</v>
      </c>
      <c r="J61" s="109">
        <f t="shared" si="6"/>
        <v>1.8537762459909373</v>
      </c>
      <c r="K61" s="111">
        <f>'[6]Mensais 07-12 MOD''s'!L$37</f>
        <v>31800.127362425039</v>
      </c>
      <c r="L61" s="112">
        <f t="shared" si="10"/>
        <v>8.7449956721863606E-2</v>
      </c>
      <c r="M61" s="111">
        <f t="shared" si="0"/>
        <v>1.293766242699202</v>
      </c>
      <c r="N61" s="113">
        <f>'[6]Mensais 07-12 MOD''s'!L$43</f>
        <v>0</v>
      </c>
      <c r="O61" s="114">
        <f t="shared" si="11"/>
        <v>0</v>
      </c>
      <c r="P61" s="113">
        <f t="shared" si="1"/>
        <v>0</v>
      </c>
      <c r="Q61" s="108">
        <f t="shared" si="18"/>
        <v>77365.020600759279</v>
      </c>
      <c r="R61" s="108">
        <f t="shared" si="7"/>
        <v>0.21275284926426632</v>
      </c>
      <c r="S61" s="115">
        <f t="shared" si="2"/>
        <v>3.1475424886901391</v>
      </c>
      <c r="AT61" s="105"/>
      <c r="AU61" s="106" t="s">
        <v>39</v>
      </c>
      <c r="AV61" s="118">
        <f t="shared" si="3"/>
        <v>3.1475424886901391</v>
      </c>
      <c r="AW61" s="115">
        <f t="shared" si="4"/>
        <v>363638</v>
      </c>
      <c r="BJ61" s="87">
        <v>2012</v>
      </c>
      <c r="BK61" s="136">
        <f>AVERAGE(AW71,AW73)</f>
        <v>375430</v>
      </c>
      <c r="BL61" s="136">
        <f>AVERAGE(AV71,AV73)</f>
        <v>3.5636540200956786</v>
      </c>
    </row>
    <row r="62" spans="2:64" x14ac:dyDescent="0.25">
      <c r="B62" s="105"/>
      <c r="C62" s="106" t="s">
        <v>41</v>
      </c>
      <c r="D62" s="107">
        <f>[63]Folha1!$I$49</f>
        <v>70.195856271862354</v>
      </c>
      <c r="E62" s="108">
        <f>[63]Folha1!$Q$53</f>
        <v>409253</v>
      </c>
      <c r="F62" s="108">
        <f t="shared" si="15"/>
        <v>24579.5</v>
      </c>
      <c r="G62" s="107">
        <f t="shared" si="5"/>
        <v>2.8558699840054661E-3</v>
      </c>
      <c r="H62" s="109">
        <f>'[6]Mensais 07-12 MOD''s'!M$31</f>
        <v>56171.241791125285</v>
      </c>
      <c r="I62" s="110">
        <f t="shared" si="9"/>
        <v>0.13725309720667969</v>
      </c>
      <c r="J62" s="109">
        <f t="shared" si="6"/>
        <v>2.2852882194969499</v>
      </c>
      <c r="K62" s="111">
        <f>'[6]Mensais 07-12 MOD''s'!M$37</f>
        <v>45362.649181079367</v>
      </c>
      <c r="L62" s="112">
        <f t="shared" si="10"/>
        <v>0.1108425574915257</v>
      </c>
      <c r="M62" s="111">
        <f t="shared" si="0"/>
        <v>1.8455480860505449</v>
      </c>
      <c r="N62" s="113">
        <f>'[6]Mensais 07-12 MOD''s'!M$43</f>
        <v>0</v>
      </c>
      <c r="O62" s="114">
        <f t="shared" si="11"/>
        <v>0</v>
      </c>
      <c r="P62" s="113">
        <f t="shared" si="1"/>
        <v>0</v>
      </c>
      <c r="Q62" s="108">
        <f t="shared" si="18"/>
        <v>101533.89097220465</v>
      </c>
      <c r="R62" s="108">
        <f t="shared" si="7"/>
        <v>0.24809565469820538</v>
      </c>
      <c r="S62" s="115">
        <f t="shared" si="2"/>
        <v>4.1308363055474953</v>
      </c>
      <c r="AT62" s="105"/>
      <c r="AU62" s="106" t="s">
        <v>41</v>
      </c>
      <c r="AV62" s="118">
        <f t="shared" si="3"/>
        <v>4.1308363055474953</v>
      </c>
      <c r="AW62" s="115">
        <f t="shared" si="4"/>
        <v>409253</v>
      </c>
    </row>
    <row r="63" spans="2:64" x14ac:dyDescent="0.25">
      <c r="B63" s="105"/>
      <c r="C63" s="106" t="s">
        <v>43</v>
      </c>
      <c r="D63" s="107">
        <f>[64]Folha1!$I$49</f>
        <v>70.168844063031443</v>
      </c>
      <c r="E63" s="108">
        <f>[64]Folha1!$Q$53</f>
        <v>436318.5</v>
      </c>
      <c r="F63" s="108">
        <f t="shared" si="15"/>
        <v>24579.5</v>
      </c>
      <c r="G63" s="107">
        <f t="shared" si="5"/>
        <v>2.8547710109250164E-3</v>
      </c>
      <c r="H63" s="109">
        <f>'[6]Mensais 07-12 MOD''s'!N$31</f>
        <v>59160.489918773164</v>
      </c>
      <c r="I63" s="110">
        <f t="shared" si="9"/>
        <v>0.13559014783643866</v>
      </c>
      <c r="J63" s="109">
        <f t="shared" si="6"/>
        <v>2.4069037172755006</v>
      </c>
      <c r="K63" s="111">
        <f>'[6]Mensais 07-12 MOD''s'!N$37</f>
        <v>33432.330631673634</v>
      </c>
      <c r="L63" s="112">
        <f t="shared" si="10"/>
        <v>7.6623683459843286E-2</v>
      </c>
      <c r="M63" s="111">
        <f t="shared" si="0"/>
        <v>1.3601713066447094</v>
      </c>
      <c r="N63" s="113">
        <f>'[6]Mensais 07-12 MOD''s'!N$43</f>
        <v>30953.123001724205</v>
      </c>
      <c r="O63" s="114">
        <f t="shared" si="11"/>
        <v>7.0941578231782987E-2</v>
      </c>
      <c r="P63" s="113">
        <f t="shared" si="1"/>
        <v>1.2593064546359447</v>
      </c>
      <c r="Q63" s="108">
        <f t="shared" si="18"/>
        <v>123545.94355217101</v>
      </c>
      <c r="R63" s="108">
        <f t="shared" si="7"/>
        <v>0.28315540952806495</v>
      </c>
      <c r="S63" s="115">
        <f t="shared" si="2"/>
        <v>5.0263814785561554</v>
      </c>
      <c r="AT63" s="105"/>
      <c r="AU63" s="106" t="s">
        <v>43</v>
      </c>
      <c r="AV63" s="118">
        <f t="shared" si="3"/>
        <v>5.0263814785561554</v>
      </c>
      <c r="AW63" s="115">
        <f t="shared" si="4"/>
        <v>436318.5</v>
      </c>
    </row>
    <row r="64" spans="2:64" ht="15.75" thickBot="1" x14ac:dyDescent="0.3">
      <c r="B64" s="119"/>
      <c r="C64" s="120" t="s">
        <v>45</v>
      </c>
      <c r="D64" s="121">
        <f>[65]Folha1!$I$49</f>
        <v>68.816700105310318</v>
      </c>
      <c r="E64" s="122">
        <f>[65]Folha1!$Q$53</f>
        <v>394205.5</v>
      </c>
      <c r="F64" s="122">
        <f t="shared" si="15"/>
        <v>24579.5</v>
      </c>
      <c r="G64" s="121">
        <f t="shared" si="5"/>
        <v>2.7997599668549123E-3</v>
      </c>
      <c r="H64" s="123">
        <f>'[6]Mensais 07-12 MOD''s'!O$31</f>
        <v>52996.34980842712</v>
      </c>
      <c r="I64" s="124">
        <f t="shared" si="9"/>
        <v>0.1344383825401399</v>
      </c>
      <c r="J64" s="123">
        <f t="shared" si="6"/>
        <v>2.156119929552152</v>
      </c>
      <c r="K64" s="125">
        <f>'[6]Mensais 07-12 MOD''s'!O$37</f>
        <v>17590.499000000003</v>
      </c>
      <c r="L64" s="126">
        <f t="shared" si="10"/>
        <v>4.4622662545296815E-2</v>
      </c>
      <c r="M64" s="125">
        <f t="shared" si="0"/>
        <v>0.71565731605606309</v>
      </c>
      <c r="N64" s="127">
        <f>'[6]Mensais 07-12 MOD''s'!O$43</f>
        <v>33342.519851368583</v>
      </c>
      <c r="O64" s="128">
        <f t="shared" si="11"/>
        <v>8.4581569387967903E-2</v>
      </c>
      <c r="P64" s="127">
        <f t="shared" si="1"/>
        <v>1.3565174170088319</v>
      </c>
      <c r="Q64" s="108">
        <f t="shared" si="18"/>
        <v>103929.3686597957</v>
      </c>
      <c r="R64" s="122">
        <f t="shared" si="7"/>
        <v>0.26364261447340459</v>
      </c>
      <c r="S64" s="129">
        <f t="shared" si="2"/>
        <v>4.2282946626170466</v>
      </c>
      <c r="AT64" s="119"/>
      <c r="AU64" s="120" t="s">
        <v>45</v>
      </c>
      <c r="AV64" s="130">
        <f t="shared" si="3"/>
        <v>4.2282946626170466</v>
      </c>
      <c r="AW64" s="129">
        <f t="shared" si="4"/>
        <v>394205.5</v>
      </c>
    </row>
    <row r="65" spans="2:64" ht="15" customHeight="1" x14ac:dyDescent="0.25">
      <c r="B65" s="88">
        <v>2012</v>
      </c>
      <c r="C65" s="131" t="s">
        <v>23</v>
      </c>
      <c r="D65" s="93">
        <f>[66]Folha1!$I$49</f>
        <v>69.159867158685628</v>
      </c>
      <c r="E65" s="132">
        <f>[66]Folha1!$Q$53</f>
        <v>404419.5</v>
      </c>
      <c r="F65" s="132">
        <f t="shared" si="15"/>
        <v>24579.5</v>
      </c>
      <c r="G65" s="93">
        <f t="shared" si="5"/>
        <v>2.8137214816690995E-3</v>
      </c>
      <c r="H65" s="94">
        <f>'[6]Mensais 07-12 MOD''s'!D$32</f>
        <v>58528.295214600257</v>
      </c>
      <c r="I65" s="133">
        <f t="shared" si="9"/>
        <v>0.14472174367111443</v>
      </c>
      <c r="J65" s="94">
        <f t="shared" si="6"/>
        <v>2.3811833118900001</v>
      </c>
      <c r="K65" s="96">
        <f>'[6]Mensais 07-12 MOD''s'!D$38</f>
        <v>17220.528270771872</v>
      </c>
      <c r="L65" s="134">
        <f t="shared" si="10"/>
        <v>4.2580855450273472E-2</v>
      </c>
      <c r="M65" s="96">
        <f t="shared" si="0"/>
        <v>0.70060531218177236</v>
      </c>
      <c r="N65" s="98">
        <f>'[6]Mensais 07-12 MOD''s'!D$44</f>
        <v>29826.638901618975</v>
      </c>
      <c r="O65" s="135">
        <f t="shared" si="11"/>
        <v>7.3751732796314168E-2</v>
      </c>
      <c r="P65" s="98">
        <f t="shared" si="1"/>
        <v>1.2134762261892624</v>
      </c>
      <c r="Q65" s="132">
        <f>SUM(H65,K65,N65)</f>
        <v>105575.4623869911</v>
      </c>
      <c r="R65" s="132">
        <f t="shared" si="7"/>
        <v>0.26105433191770205</v>
      </c>
      <c r="S65" s="104">
        <f t="shared" si="2"/>
        <v>4.2952648502610344</v>
      </c>
      <c r="AT65" s="88">
        <v>2012</v>
      </c>
      <c r="AU65" s="131" t="s">
        <v>23</v>
      </c>
      <c r="AV65" s="103">
        <f t="shared" si="3"/>
        <v>4.2952648502610344</v>
      </c>
      <c r="AW65" s="104">
        <f t="shared" si="4"/>
        <v>404419.5</v>
      </c>
    </row>
    <row r="66" spans="2:64" x14ac:dyDescent="0.25">
      <c r="B66" s="105"/>
      <c r="C66" s="106" t="s">
        <v>25</v>
      </c>
      <c r="D66" s="107">
        <f>[67]Folha1!$I$49</f>
        <v>70.314543692499498</v>
      </c>
      <c r="E66" s="108">
        <f>[67]Folha1!$Q$53</f>
        <v>422032</v>
      </c>
      <c r="F66" s="108">
        <f t="shared" si="15"/>
        <v>24579.5</v>
      </c>
      <c r="G66" s="107">
        <f t="shared" si="5"/>
        <v>2.8606986998311397E-3</v>
      </c>
      <c r="H66" s="109">
        <f>'[6]Mensais 07-12 MOD''s'!E$32</f>
        <v>63898.623170979758</v>
      </c>
      <c r="I66" s="110">
        <f t="shared" si="9"/>
        <v>0.15140705721599251</v>
      </c>
      <c r="J66" s="109">
        <f t="shared" si="6"/>
        <v>2.5996713997835497</v>
      </c>
      <c r="K66" s="111">
        <f>'[6]Mensais 07-12 MOD''s'!E$38</f>
        <v>24835.354193742962</v>
      </c>
      <c r="L66" s="112">
        <f t="shared" si="10"/>
        <v>5.8847087883721998E-2</v>
      </c>
      <c r="M66" s="111">
        <f t="shared" si="0"/>
        <v>1.0104092513575524</v>
      </c>
      <c r="N66" s="113">
        <f>'[6]Mensais 07-12 MOD''s'!E$44</f>
        <v>62981.735460049516</v>
      </c>
      <c r="O66" s="114">
        <f t="shared" si="11"/>
        <v>0.1492345022653484</v>
      </c>
      <c r="P66" s="113">
        <f t="shared" si="1"/>
        <v>2.5623684558290249</v>
      </c>
      <c r="Q66" s="108">
        <f>SUM(H66,K66,N66)</f>
        <v>151715.71282477223</v>
      </c>
      <c r="R66" s="108">
        <f t="shared" si="7"/>
        <v>0.35948864736506292</v>
      </c>
      <c r="S66" s="115">
        <f t="shared" si="2"/>
        <v>6.1724491069701264</v>
      </c>
      <c r="AT66" s="105"/>
      <c r="AU66" s="106" t="s">
        <v>25</v>
      </c>
      <c r="AV66" s="118">
        <f t="shared" si="3"/>
        <v>6.1724491069701264</v>
      </c>
      <c r="AW66" s="115">
        <f t="shared" si="4"/>
        <v>422032</v>
      </c>
    </row>
    <row r="67" spans="2:64" x14ac:dyDescent="0.25">
      <c r="B67" s="105"/>
      <c r="C67" s="106" t="s">
        <v>27</v>
      </c>
      <c r="D67" s="107">
        <f>[68]Folha1!$I$49</f>
        <v>69.457742211364575</v>
      </c>
      <c r="E67" s="108">
        <f>[68]Folha1!$Q$53</f>
        <v>390047.5</v>
      </c>
      <c r="F67" s="108">
        <f t="shared" si="15"/>
        <v>24579.5</v>
      </c>
      <c r="G67" s="107">
        <f t="shared" si="5"/>
        <v>2.8258403226820959E-3</v>
      </c>
      <c r="H67" s="109">
        <f>'[6]Mensais 07-12 MOD''s'!F$32</f>
        <v>55537.474424245964</v>
      </c>
      <c r="I67" s="110">
        <f t="shared" si="9"/>
        <v>0.14238643863695052</v>
      </c>
      <c r="J67" s="109">
        <f t="shared" si="6"/>
        <v>2.2595038314142259</v>
      </c>
      <c r="K67" s="111">
        <f>'[6]Mensais 07-12 MOD''s'!F$38</f>
        <v>22041.958089885095</v>
      </c>
      <c r="L67" s="112">
        <f t="shared" si="10"/>
        <v>5.6510958511168753E-2</v>
      </c>
      <c r="M67" s="111">
        <f t="shared" si="0"/>
        <v>0.8967618580477672</v>
      </c>
      <c r="N67" s="113">
        <f>'[6]Mensais 07-12 MOD''s'!F$44</f>
        <v>9521.7829494494545</v>
      </c>
      <c r="O67" s="114">
        <f t="shared" si="11"/>
        <v>2.4411854836781301E-2</v>
      </c>
      <c r="P67" s="113">
        <f t="shared" si="1"/>
        <v>0.38738717018041274</v>
      </c>
      <c r="Q67" s="108">
        <f t="shared" ref="Q67:Q76" si="19">SUM(H67,K67,N67)</f>
        <v>87101.215463580505</v>
      </c>
      <c r="R67" s="108">
        <f t="shared" si="7"/>
        <v>0.22330925198490056</v>
      </c>
      <c r="S67" s="115">
        <f t="shared" si="2"/>
        <v>3.5436528596424055</v>
      </c>
      <c r="AT67" s="105"/>
      <c r="AU67" s="106" t="s">
        <v>27</v>
      </c>
      <c r="AV67" s="118">
        <f t="shared" si="3"/>
        <v>3.5436528596424055</v>
      </c>
      <c r="AW67" s="115">
        <f t="shared" si="4"/>
        <v>390047.5</v>
      </c>
    </row>
    <row r="68" spans="2:64" x14ac:dyDescent="0.25">
      <c r="B68" s="105"/>
      <c r="C68" s="106" t="s">
        <v>29</v>
      </c>
      <c r="D68" s="107">
        <f>[69]Folha1!$I$49</f>
        <v>69.591838941480631</v>
      </c>
      <c r="E68" s="108">
        <f>[69]Folha1!$Q$53</f>
        <v>371391.5</v>
      </c>
      <c r="F68" s="108">
        <f t="shared" si="15"/>
        <v>24579.5</v>
      </c>
      <c r="G68" s="107">
        <f t="shared" si="5"/>
        <v>2.8312959556329718E-3</v>
      </c>
      <c r="H68" s="109">
        <f>'[6]Mensais 07-12 MOD''s'!G$32</f>
        <v>67516.363778836909</v>
      </c>
      <c r="I68" s="110">
        <f t="shared" si="9"/>
        <v>0.18179296989521007</v>
      </c>
      <c r="J68" s="109">
        <f t="shared" si="6"/>
        <v>2.7468566805198198</v>
      </c>
      <c r="K68" s="111">
        <f>'[6]Mensais 07-12 MOD''s'!G$38</f>
        <v>28011.62790251373</v>
      </c>
      <c r="L68" s="112">
        <f t="shared" si="10"/>
        <v>7.5423449116400698E-2</v>
      </c>
      <c r="M68" s="111">
        <f t="shared" si="0"/>
        <v>1.1396337558743559</v>
      </c>
      <c r="N68" s="113">
        <f>'[6]Mensais 07-12 MOD''s'!G$44</f>
        <v>8285.48098593127</v>
      </c>
      <c r="O68" s="114">
        <f t="shared" si="11"/>
        <v>2.2309290831726815E-2</v>
      </c>
      <c r="P68" s="113">
        <f t="shared" si="1"/>
        <v>0.33708907772457819</v>
      </c>
      <c r="Q68" s="108">
        <f t="shared" si="19"/>
        <v>103813.47266728191</v>
      </c>
      <c r="R68" s="108">
        <f t="shared" si="7"/>
        <v>0.27952570984333758</v>
      </c>
      <c r="S68" s="115">
        <f t="shared" si="2"/>
        <v>4.2235795141187538</v>
      </c>
      <c r="AT68" s="105"/>
      <c r="AU68" s="106" t="s">
        <v>29</v>
      </c>
      <c r="AV68" s="118">
        <f t="shared" si="3"/>
        <v>4.2235795141187538</v>
      </c>
      <c r="AW68" s="115">
        <f t="shared" si="4"/>
        <v>371391.5</v>
      </c>
    </row>
    <row r="69" spans="2:64" x14ac:dyDescent="0.25">
      <c r="B69" s="105"/>
      <c r="C69" s="106" t="s">
        <v>31</v>
      </c>
      <c r="D69" s="107">
        <f>[70]Folha1!$I$49</f>
        <v>69.547498570652579</v>
      </c>
      <c r="E69" s="108">
        <f>[70]Folha1!$Q$53</f>
        <v>421126.5</v>
      </c>
      <c r="F69" s="108">
        <f t="shared" si="15"/>
        <v>24579.5</v>
      </c>
      <c r="G69" s="107">
        <f t="shared" si="5"/>
        <v>2.8294919982364401E-3</v>
      </c>
      <c r="H69" s="109">
        <f>'[6]Mensais 07-12 MOD''s'!H$32</f>
        <v>63097.104133378351</v>
      </c>
      <c r="I69" s="110">
        <f t="shared" si="9"/>
        <v>0.14982933663252812</v>
      </c>
      <c r="J69" s="109">
        <f t="shared" si="6"/>
        <v>2.5670621507100777</v>
      </c>
      <c r="K69" s="111">
        <f>'[6]Mensais 07-12 MOD''s'!H$38</f>
        <v>33854.595494317851</v>
      </c>
      <c r="L69" s="112">
        <f t="shared" si="10"/>
        <v>8.0390560779998052E-2</v>
      </c>
      <c r="M69" s="111">
        <f t="shared" ref="M69:M76" si="20">K69/F69</f>
        <v>1.3773508612590919</v>
      </c>
      <c r="N69" s="113">
        <f>'[6]Mensais 07-12 MOD''s'!H$44</f>
        <v>1471.1097520812054</v>
      </c>
      <c r="O69" s="114">
        <f t="shared" si="11"/>
        <v>3.4932728101442333E-3</v>
      </c>
      <c r="P69" s="113">
        <f t="shared" ref="P69:P76" si="21">N69/F69</f>
        <v>5.9851085338644215E-2</v>
      </c>
      <c r="Q69" s="108">
        <f t="shared" si="19"/>
        <v>98422.809379777405</v>
      </c>
      <c r="R69" s="108">
        <f t="shared" si="7"/>
        <v>0.23371317022267041</v>
      </c>
      <c r="S69" s="115">
        <f t="shared" ref="S69:S76" si="22">Q69/F69</f>
        <v>4.0042640973078134</v>
      </c>
      <c r="AT69" s="105"/>
      <c r="AU69" s="106" t="s">
        <v>31</v>
      </c>
      <c r="AV69" s="118">
        <f t="shared" ref="AV69:AV76" si="23">S69</f>
        <v>4.0042640973078134</v>
      </c>
      <c r="AW69" s="115">
        <f t="shared" ref="AW69:AW76" si="24">E69</f>
        <v>421126.5</v>
      </c>
    </row>
    <row r="70" spans="2:64" x14ac:dyDescent="0.25">
      <c r="B70" s="105"/>
      <c r="C70" s="106" t="s">
        <v>33</v>
      </c>
      <c r="D70" s="107">
        <f>[71]Folha1!$I$49</f>
        <v>69.426120892191861</v>
      </c>
      <c r="E70" s="108">
        <f>[71]Folha1!$Q$53</f>
        <v>390112.60000000003</v>
      </c>
      <c r="F70" s="108">
        <f t="shared" si="15"/>
        <v>24579.5</v>
      </c>
      <c r="G70" s="107">
        <f t="shared" ref="G70:G76" si="25">D70/F70</f>
        <v>2.8245538311272344E-3</v>
      </c>
      <c r="H70" s="109">
        <f>'[6]Mensais 07-12 MOD''s'!I$32</f>
        <v>56300.057276456151</v>
      </c>
      <c r="I70" s="110">
        <f t="shared" si="9"/>
        <v>0.1443174541823467</v>
      </c>
      <c r="J70" s="109">
        <f t="shared" ref="J70:J76" si="26">H70/F70</f>
        <v>2.2905289886472935</v>
      </c>
      <c r="K70" s="111">
        <f>'[6]Mensais 07-12 MOD''s'!I$38</f>
        <v>38376.386902257764</v>
      </c>
      <c r="L70" s="112">
        <f t="shared" si="10"/>
        <v>9.8372590124640322E-2</v>
      </c>
      <c r="M70" s="111">
        <f t="shared" si="20"/>
        <v>1.5613168250882956</v>
      </c>
      <c r="N70" s="113">
        <f>'[6]Mensais 07-12 MOD''s'!I$44</f>
        <v>0</v>
      </c>
      <c r="O70" s="114">
        <f t="shared" si="11"/>
        <v>0</v>
      </c>
      <c r="P70" s="113">
        <f t="shared" si="21"/>
        <v>0</v>
      </c>
      <c r="Q70" s="108">
        <f t="shared" si="19"/>
        <v>94676.444178713922</v>
      </c>
      <c r="R70" s="108">
        <f t="shared" ref="R70:R76" si="27">Q70/E70</f>
        <v>0.24269004430698704</v>
      </c>
      <c r="S70" s="115">
        <f t="shared" si="22"/>
        <v>3.8518458137355895</v>
      </c>
      <c r="AT70" s="105"/>
      <c r="AU70" s="106" t="s">
        <v>33</v>
      </c>
      <c r="AV70" s="118">
        <f t="shared" si="23"/>
        <v>3.8518458137355895</v>
      </c>
      <c r="AW70" s="115">
        <f t="shared" si="24"/>
        <v>390112.60000000003</v>
      </c>
    </row>
    <row r="71" spans="2:64" x14ac:dyDescent="0.25">
      <c r="B71" s="105"/>
      <c r="C71" s="106" t="s">
        <v>35</v>
      </c>
      <c r="D71" s="107">
        <f>[72]Folha1!$I$49</f>
        <v>68.081953691997271</v>
      </c>
      <c r="E71" s="108">
        <f>[72]Folha1!$Q$53</f>
        <v>381413.5</v>
      </c>
      <c r="F71" s="108">
        <f t="shared" si="15"/>
        <v>24579.5</v>
      </c>
      <c r="G71" s="107">
        <f t="shared" si="25"/>
        <v>2.7698673159338989E-3</v>
      </c>
      <c r="H71" s="109">
        <f>'[6]Mensais 07-12 MOD''s'!J$32</f>
        <v>47252.798815531409</v>
      </c>
      <c r="I71" s="110">
        <f t="shared" ref="I71:I76" si="28">H71/E71</f>
        <v>0.12388863743819085</v>
      </c>
      <c r="J71" s="109">
        <f t="shared" si="26"/>
        <v>1.9224475199060767</v>
      </c>
      <c r="K71" s="111">
        <f>'[6]Mensais 07-12 MOD''s'!J$38</f>
        <v>37237.985627467213</v>
      </c>
      <c r="L71" s="112">
        <f t="shared" ref="L71:L76" si="29">K71/E71</f>
        <v>9.7631535400470121E-2</v>
      </c>
      <c r="M71" s="111">
        <f t="shared" si="20"/>
        <v>1.5150017546112498</v>
      </c>
      <c r="N71" s="113">
        <f>'[6]Mensais 07-12 MOD''s'!J$44</f>
        <v>0</v>
      </c>
      <c r="O71" s="114">
        <f t="shared" ref="O71:O76" si="30">N71/E71</f>
        <v>0</v>
      </c>
      <c r="P71" s="113">
        <f t="shared" si="21"/>
        <v>0</v>
      </c>
      <c r="Q71" s="108">
        <f t="shared" si="19"/>
        <v>84490.784442998614</v>
      </c>
      <c r="R71" s="108">
        <f t="shared" si="27"/>
        <v>0.22152017283866096</v>
      </c>
      <c r="S71" s="115">
        <f t="shared" si="22"/>
        <v>3.4374492745173262</v>
      </c>
      <c r="AT71" s="105"/>
      <c r="AU71" s="106" t="s">
        <v>35</v>
      </c>
      <c r="AV71" s="118">
        <f t="shared" si="23"/>
        <v>3.4374492745173262</v>
      </c>
      <c r="AW71" s="115">
        <f t="shared" si="24"/>
        <v>381413.5</v>
      </c>
      <c r="BJ71" s="87" t="s">
        <v>3</v>
      </c>
      <c r="BK71" s="87" t="s">
        <v>22</v>
      </c>
      <c r="BL71" s="87" t="s">
        <v>10</v>
      </c>
    </row>
    <row r="72" spans="2:64" x14ac:dyDescent="0.25">
      <c r="B72" s="105"/>
      <c r="C72" s="106" t="s">
        <v>37</v>
      </c>
      <c r="D72" s="107">
        <f>[73]Folha1!$I$49</f>
        <v>64.082663371319256</v>
      </c>
      <c r="E72" s="108">
        <f>[73]Folha1!$Q$53</f>
        <v>264918.5</v>
      </c>
      <c r="F72" s="108">
        <f t="shared" si="15"/>
        <v>24579.5</v>
      </c>
      <c r="G72" s="107">
        <f t="shared" si="25"/>
        <v>2.607158948364257E-3</v>
      </c>
      <c r="H72" s="109">
        <f>'[6]Mensais 07-12 MOD''s'!K$32</f>
        <v>31051.873005929541</v>
      </c>
      <c r="I72" s="110">
        <f t="shared" si="28"/>
        <v>0.11721292777186018</v>
      </c>
      <c r="J72" s="109">
        <f t="shared" si="26"/>
        <v>1.2633240304289974</v>
      </c>
      <c r="K72" s="111">
        <f>'[6]Mensais 07-12 MOD''s'!K$38</f>
        <v>27914.117877515582</v>
      </c>
      <c r="L72" s="112">
        <f t="shared" si="29"/>
        <v>0.10536869972280374</v>
      </c>
      <c r="M72" s="111">
        <f t="shared" si="20"/>
        <v>1.1356666277798808</v>
      </c>
      <c r="N72" s="113">
        <f>'[6]Mensais 07-12 MOD''s'!K$44</f>
        <v>0</v>
      </c>
      <c r="O72" s="114">
        <f t="shared" si="30"/>
        <v>0</v>
      </c>
      <c r="P72" s="113">
        <f t="shared" si="21"/>
        <v>0</v>
      </c>
      <c r="Q72" s="108">
        <f t="shared" si="19"/>
        <v>58965.99088344512</v>
      </c>
      <c r="R72" s="108">
        <f t="shared" si="27"/>
        <v>0.2225816274946639</v>
      </c>
      <c r="S72" s="115">
        <f t="shared" si="22"/>
        <v>2.398990658208878</v>
      </c>
      <c r="AT72" s="105"/>
      <c r="AU72" s="106" t="s">
        <v>37</v>
      </c>
      <c r="AV72" s="118">
        <f t="shared" si="23"/>
        <v>2.398990658208878</v>
      </c>
      <c r="AW72" s="115">
        <f t="shared" si="24"/>
        <v>264918.5</v>
      </c>
      <c r="BJ72" s="87">
        <v>2007</v>
      </c>
      <c r="BK72" s="136">
        <f>AVERAGE(AW14:AW16)</f>
        <v>420988.16666666669</v>
      </c>
      <c r="BL72" s="136">
        <f>AVERAGE(AV14:AV16)</f>
        <v>5.8212585172622129</v>
      </c>
    </row>
    <row r="73" spans="2:64" x14ac:dyDescent="0.25">
      <c r="B73" s="105"/>
      <c r="C73" s="106" t="s">
        <v>39</v>
      </c>
      <c r="D73" s="107">
        <f>[74]Folha1!$I$49</f>
        <v>69.215803080794672</v>
      </c>
      <c r="E73" s="108">
        <f>[74]Folha1!$Q$53</f>
        <v>369446.5</v>
      </c>
      <c r="F73" s="108">
        <f t="shared" si="15"/>
        <v>24579.5</v>
      </c>
      <c r="G73" s="107">
        <f t="shared" si="25"/>
        <v>2.8159971960696789E-3</v>
      </c>
      <c r="H73" s="109">
        <f>'[6]Mensais 07-12 MOD''s'!L$32</f>
        <v>57158.756980853657</v>
      </c>
      <c r="I73" s="110">
        <f t="shared" si="28"/>
        <v>0.15471457161146107</v>
      </c>
      <c r="J73" s="109">
        <f t="shared" si="26"/>
        <v>2.3254645937001834</v>
      </c>
      <c r="K73" s="111">
        <f>'[6]Mensais 07-12 MOD''s'!L$38</f>
        <v>33536.126550031178</v>
      </c>
      <c r="L73" s="112">
        <f t="shared" si="29"/>
        <v>9.0773972821589E-2</v>
      </c>
      <c r="M73" s="111">
        <f t="shared" si="20"/>
        <v>1.3643941719738473</v>
      </c>
      <c r="N73" s="113">
        <f>'[6]Mensais 07-12 MOD''s'!L$44</f>
        <v>0</v>
      </c>
      <c r="O73" s="114">
        <f t="shared" si="30"/>
        <v>0</v>
      </c>
      <c r="P73" s="113">
        <f t="shared" si="21"/>
        <v>0</v>
      </c>
      <c r="Q73" s="108">
        <f t="shared" si="19"/>
        <v>90694.883530884836</v>
      </c>
      <c r="R73" s="108">
        <f t="shared" si="27"/>
        <v>0.24548854443305007</v>
      </c>
      <c r="S73" s="115">
        <f t="shared" si="22"/>
        <v>3.6898587656740305</v>
      </c>
      <c r="AT73" s="105"/>
      <c r="AU73" s="106" t="s">
        <v>39</v>
      </c>
      <c r="AV73" s="118">
        <f t="shared" si="23"/>
        <v>3.6898587656740305</v>
      </c>
      <c r="AW73" s="115">
        <f t="shared" si="24"/>
        <v>369446.5</v>
      </c>
      <c r="BJ73" s="87">
        <v>2008</v>
      </c>
      <c r="BK73" s="137">
        <f>AVERAGE(AW26:AW28)</f>
        <v>420303.83333333331</v>
      </c>
      <c r="BL73" s="137">
        <f>AVERAGE(AV26:AV28)</f>
        <v>5.1007337377648909</v>
      </c>
    </row>
    <row r="74" spans="2:64" x14ac:dyDescent="0.25">
      <c r="B74" s="105"/>
      <c r="C74" s="106" t="s">
        <v>41</v>
      </c>
      <c r="D74" s="107">
        <f>[75]Folha1!$I$49</f>
        <v>69.440219030250788</v>
      </c>
      <c r="E74" s="108">
        <f>[75]Folha1!$Q$53</f>
        <v>406815</v>
      </c>
      <c r="F74" s="108">
        <f t="shared" si="15"/>
        <v>24579.5</v>
      </c>
      <c r="G74" s="107">
        <f t="shared" si="25"/>
        <v>2.8251274041477975E-3</v>
      </c>
      <c r="H74" s="109">
        <f>'[6]Mensais 07-12 MOD''s'!M$32</f>
        <v>46929.549196865177</v>
      </c>
      <c r="I74" s="110">
        <f t="shared" si="28"/>
        <v>0.11535845334332602</v>
      </c>
      <c r="J74" s="109">
        <f t="shared" si="26"/>
        <v>1.9092963321819068</v>
      </c>
      <c r="K74" s="111">
        <f>'[6]Mensais 07-12 MOD''s'!M$38</f>
        <v>23510.632472206024</v>
      </c>
      <c r="L74" s="112">
        <f t="shared" si="29"/>
        <v>5.7791950818445792E-2</v>
      </c>
      <c r="M74" s="111">
        <f t="shared" si="20"/>
        <v>0.95651386204788635</v>
      </c>
      <c r="N74" s="113">
        <f>'[6]Mensais 07-12 MOD''s'!M$44</f>
        <v>1316.3492891218398</v>
      </c>
      <c r="O74" s="114">
        <f t="shared" si="30"/>
        <v>3.2357442304778335E-3</v>
      </c>
      <c r="P74" s="113">
        <f t="shared" si="21"/>
        <v>5.3554762673034023E-2</v>
      </c>
      <c r="Q74" s="108">
        <f t="shared" si="19"/>
        <v>71756.530958193034</v>
      </c>
      <c r="R74" s="108">
        <f t="shared" si="27"/>
        <v>0.17638614839224964</v>
      </c>
      <c r="S74" s="115">
        <f t="shared" si="22"/>
        <v>2.919364956902827</v>
      </c>
      <c r="AT74" s="105"/>
      <c r="AU74" s="106" t="s">
        <v>41</v>
      </c>
      <c r="AV74" s="118">
        <f t="shared" si="23"/>
        <v>2.919364956902827</v>
      </c>
      <c r="AW74" s="115">
        <f t="shared" si="24"/>
        <v>406815</v>
      </c>
      <c r="BJ74" s="87">
        <v>2009</v>
      </c>
      <c r="BK74" s="137">
        <f>AVERAGE(AW38:AW40)</f>
        <v>418721.5</v>
      </c>
      <c r="BL74" s="137">
        <f>AVERAGE(AV38:AV40)</f>
        <v>5.3059902584702412</v>
      </c>
    </row>
    <row r="75" spans="2:64" x14ac:dyDescent="0.25">
      <c r="B75" s="105"/>
      <c r="C75" s="106" t="s">
        <v>43</v>
      </c>
      <c r="D75" s="107">
        <f>[76]Folha1!$I$49</f>
        <v>70.10451895760221</v>
      </c>
      <c r="E75" s="108">
        <f>[76]Folha1!$Q$53</f>
        <v>410401</v>
      </c>
      <c r="F75" s="108">
        <f t="shared" si="15"/>
        <v>24579.5</v>
      </c>
      <c r="G75" s="107">
        <f t="shared" si="25"/>
        <v>2.852153988388788E-3</v>
      </c>
      <c r="H75" s="109">
        <f>'[6]Mensais 07-12 MOD''s'!N$32</f>
        <v>37788.548905664764</v>
      </c>
      <c r="I75" s="110">
        <f t="shared" si="28"/>
        <v>9.2077136521754976E-2</v>
      </c>
      <c r="J75" s="109">
        <f t="shared" si="26"/>
        <v>1.5374010417488055</v>
      </c>
      <c r="K75" s="111">
        <f>'[6]Mensais 07-12 MOD''s'!N$38</f>
        <v>25103</v>
      </c>
      <c r="L75" s="112">
        <f t="shared" si="29"/>
        <v>6.1167004953691637E-2</v>
      </c>
      <c r="M75" s="111">
        <f t="shared" si="20"/>
        <v>1.0212982363351573</v>
      </c>
      <c r="N75" s="113">
        <f>'[6]Mensais 07-12 MOD''s'!N$44</f>
        <v>15353</v>
      </c>
      <c r="O75" s="114">
        <f t="shared" si="30"/>
        <v>3.7409752900212229E-2</v>
      </c>
      <c r="P75" s="113">
        <f t="shared" si="21"/>
        <v>0.62462621290099474</v>
      </c>
      <c r="Q75" s="108">
        <f t="shared" si="19"/>
        <v>78244.548905664764</v>
      </c>
      <c r="R75" s="108">
        <f t="shared" si="27"/>
        <v>0.19065389437565883</v>
      </c>
      <c r="S75" s="115">
        <f t="shared" si="22"/>
        <v>3.1833254909849575</v>
      </c>
      <c r="AT75" s="105"/>
      <c r="AU75" s="106" t="s">
        <v>43</v>
      </c>
      <c r="AV75" s="118">
        <f t="shared" si="23"/>
        <v>3.1833254909849575</v>
      </c>
      <c r="AW75" s="115">
        <f t="shared" si="24"/>
        <v>410401</v>
      </c>
      <c r="BJ75" s="87">
        <v>2010</v>
      </c>
      <c r="BK75" s="137">
        <f>AVERAGE(AW50:AW52)</f>
        <v>405234.83333333331</v>
      </c>
      <c r="BL75" s="137">
        <f>AVERAGE(AV50:AV52)</f>
        <v>4.614082836060164</v>
      </c>
    </row>
    <row r="76" spans="2:64" ht="15.75" thickBot="1" x14ac:dyDescent="0.3">
      <c r="B76" s="119"/>
      <c r="C76" s="120" t="s">
        <v>45</v>
      </c>
      <c r="D76" s="121">
        <f>[77]Folha1!$I$49</f>
        <v>68.503418542417606</v>
      </c>
      <c r="E76" s="122">
        <f>[77]Folha1!$Q$53</f>
        <v>393580</v>
      </c>
      <c r="F76" s="122">
        <f t="shared" si="15"/>
        <v>24579.5</v>
      </c>
      <c r="G76" s="121">
        <f t="shared" si="25"/>
        <v>2.7870143226028849E-3</v>
      </c>
      <c r="H76" s="123">
        <f>'[6]Mensais 07-12 MOD''s'!O$32</f>
        <v>41510.586013153734</v>
      </c>
      <c r="I76" s="124">
        <f t="shared" si="28"/>
        <v>0.10546924643821773</v>
      </c>
      <c r="J76" s="123">
        <f t="shared" si="26"/>
        <v>1.6888295536180042</v>
      </c>
      <c r="K76" s="125">
        <f>'[6]Mensais 07-12 MOD''s'!O$38</f>
        <v>17953.376914968539</v>
      </c>
      <c r="L76" s="126">
        <f t="shared" si="29"/>
        <v>4.5615572221577673E-2</v>
      </c>
      <c r="M76" s="125">
        <f t="shared" si="20"/>
        <v>0.73042075367556458</v>
      </c>
      <c r="N76" s="127">
        <f>'[6]Mensais 07-12 MOD''s'!O$44</f>
        <v>30678.327523449421</v>
      </c>
      <c r="O76" s="128">
        <f t="shared" si="30"/>
        <v>7.7946866008052798E-2</v>
      </c>
      <c r="P76" s="127">
        <f t="shared" si="21"/>
        <v>1.2481265901848866</v>
      </c>
      <c r="Q76" s="122">
        <f t="shared" si="19"/>
        <v>90142.290451571695</v>
      </c>
      <c r="R76" s="122">
        <f t="shared" si="27"/>
        <v>0.22903168466784821</v>
      </c>
      <c r="S76" s="129">
        <f t="shared" si="22"/>
        <v>3.6673768974784555</v>
      </c>
      <c r="AT76" s="119"/>
      <c r="AU76" s="120" t="s">
        <v>45</v>
      </c>
      <c r="AV76" s="130">
        <f t="shared" si="23"/>
        <v>3.6673768974784555</v>
      </c>
      <c r="AW76" s="129">
        <f t="shared" si="24"/>
        <v>393580</v>
      </c>
      <c r="BJ76" s="87">
        <v>2011</v>
      </c>
      <c r="BK76" s="137">
        <f>AVERAGE(AW62:AW64)</f>
        <v>413259</v>
      </c>
      <c r="BL76" s="137">
        <f>AVERAGE(AV62:AV64)</f>
        <v>4.4618374822402318</v>
      </c>
    </row>
    <row r="77" spans="2:64" x14ac:dyDescent="0.25">
      <c r="BJ77" s="87">
        <v>2012</v>
      </c>
      <c r="BK77" s="137">
        <f>AVERAGE(AW74:AW76)</f>
        <v>403598.66666666669</v>
      </c>
      <c r="BL77" s="137">
        <f>AVERAGE(AV74:AV76)</f>
        <v>3.25668911512208</v>
      </c>
    </row>
    <row r="78" spans="2:64" x14ac:dyDescent="0.25">
      <c r="C78" s="139" t="s">
        <v>47</v>
      </c>
      <c r="D78" s="140"/>
      <c r="E78" s="108">
        <f>MAX(E5:E76)</f>
        <v>440000</v>
      </c>
      <c r="R78" s="140" t="s">
        <v>47</v>
      </c>
      <c r="S78" s="108">
        <f>MAX(S5:S76)</f>
        <v>7.627072797270638</v>
      </c>
    </row>
    <row r="79" spans="2:64" x14ac:dyDescent="0.25">
      <c r="C79" s="139" t="s">
        <v>48</v>
      </c>
      <c r="D79" s="140"/>
      <c r="E79" s="108">
        <f>MIN(E5:E76)</f>
        <v>264918.5</v>
      </c>
    </row>
    <row r="86" spans="51:68" x14ac:dyDescent="0.25"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</row>
    <row r="87" spans="51:68" x14ac:dyDescent="0.25"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4"/>
      <c r="BM87" s="54"/>
      <c r="BN87" s="54"/>
      <c r="BO87" s="54"/>
      <c r="BP87" s="54"/>
    </row>
    <row r="88" spans="51:68" x14ac:dyDescent="0.25"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141"/>
      <c r="BK88" s="141"/>
      <c r="BL88" s="141"/>
      <c r="BM88" s="54"/>
      <c r="BN88" s="54"/>
      <c r="BO88" s="54"/>
      <c r="BP88" s="54"/>
    </row>
    <row r="89" spans="51:68" x14ac:dyDescent="0.25"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141"/>
      <c r="BK89" s="136"/>
      <c r="BL89" s="136"/>
      <c r="BM89" s="54"/>
      <c r="BN89" s="54"/>
      <c r="BO89" s="54"/>
      <c r="BP89" s="54"/>
    </row>
    <row r="90" spans="51:68" x14ac:dyDescent="0.25"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141"/>
      <c r="BK90" s="136"/>
      <c r="BL90" s="136"/>
      <c r="BM90" s="54"/>
      <c r="BN90" s="54"/>
      <c r="BO90" s="54"/>
      <c r="BP90" s="54"/>
    </row>
    <row r="91" spans="51:68" x14ac:dyDescent="0.25"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141"/>
      <c r="BK91" s="136"/>
      <c r="BL91" s="136"/>
      <c r="BM91" s="54"/>
      <c r="BN91" s="54"/>
      <c r="BO91" s="54"/>
      <c r="BP91" s="54"/>
    </row>
    <row r="92" spans="51:68" x14ac:dyDescent="0.25"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141"/>
      <c r="BK92" s="136"/>
      <c r="BL92" s="136"/>
      <c r="BM92" s="54"/>
      <c r="BN92" s="54"/>
      <c r="BO92" s="54"/>
      <c r="BP92" s="54"/>
    </row>
    <row r="93" spans="51:68" x14ac:dyDescent="0.25"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141"/>
      <c r="BK93" s="136"/>
      <c r="BL93" s="136"/>
      <c r="BM93" s="54"/>
      <c r="BN93" s="54"/>
      <c r="BO93" s="54"/>
      <c r="BP93" s="54"/>
    </row>
    <row r="94" spans="51:68" x14ac:dyDescent="0.25"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141"/>
      <c r="BK94" s="136"/>
      <c r="BL94" s="136"/>
      <c r="BM94" s="54"/>
      <c r="BN94" s="54"/>
      <c r="BO94" s="54"/>
      <c r="BP94" s="54"/>
    </row>
    <row r="95" spans="51:68" x14ac:dyDescent="0.25"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</row>
    <row r="96" spans="51:68" x14ac:dyDescent="0.25"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</row>
    <row r="97" spans="51:68" x14ac:dyDescent="0.25"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</row>
    <row r="98" spans="51:68" x14ac:dyDescent="0.25"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</row>
    <row r="99" spans="51:68" x14ac:dyDescent="0.25"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</row>
    <row r="100" spans="51:68" x14ac:dyDescent="0.25"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</row>
    <row r="101" spans="51:68" x14ac:dyDescent="0.25"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</row>
    <row r="102" spans="51:68" x14ac:dyDescent="0.25"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</row>
    <row r="103" spans="51:68" x14ac:dyDescent="0.25"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</row>
    <row r="104" spans="51:68" x14ac:dyDescent="0.25"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</row>
    <row r="105" spans="51:68" x14ac:dyDescent="0.25">
      <c r="AY105" s="54"/>
      <c r="AZ105" s="54"/>
      <c r="BA105" s="54"/>
      <c r="BB105" s="54"/>
      <c r="BC105" s="54"/>
      <c r="BD105" s="54"/>
      <c r="BE105" s="54"/>
      <c r="BF105" s="54"/>
      <c r="BG105" s="54"/>
      <c r="BH105" s="54"/>
      <c r="BI105" s="54"/>
      <c r="BJ105" s="141"/>
      <c r="BK105" s="141"/>
      <c r="BL105" s="141"/>
      <c r="BM105" s="54"/>
      <c r="BN105" s="54"/>
      <c r="BO105" s="54"/>
      <c r="BP105" s="54"/>
    </row>
    <row r="106" spans="51:68" x14ac:dyDescent="0.25">
      <c r="AY106" s="54"/>
      <c r="AZ106" s="54"/>
      <c r="BA106" s="54"/>
      <c r="BB106" s="54"/>
      <c r="BC106" s="54"/>
      <c r="BD106" s="54"/>
      <c r="BE106" s="54"/>
      <c r="BF106" s="54"/>
      <c r="BG106" s="54"/>
      <c r="BH106" s="54"/>
      <c r="BI106" s="54"/>
      <c r="BJ106" s="141"/>
      <c r="BK106" s="136"/>
      <c r="BL106" s="136"/>
      <c r="BM106" s="54"/>
      <c r="BN106" s="54"/>
      <c r="BO106" s="54"/>
      <c r="BP106" s="54"/>
    </row>
    <row r="107" spans="51:68" x14ac:dyDescent="0.25">
      <c r="AY107" s="54"/>
      <c r="AZ107" s="54"/>
      <c r="BA107" s="54"/>
      <c r="BB107" s="54"/>
      <c r="BC107" s="54"/>
      <c r="BD107" s="54"/>
      <c r="BE107" s="54"/>
      <c r="BF107" s="54"/>
      <c r="BG107" s="54"/>
      <c r="BH107" s="54"/>
      <c r="BI107" s="54"/>
      <c r="BJ107" s="141"/>
      <c r="BK107" s="136"/>
      <c r="BL107" s="136"/>
      <c r="BM107" s="54"/>
      <c r="BN107" s="54"/>
      <c r="BO107" s="54"/>
      <c r="BP107" s="54"/>
    </row>
    <row r="108" spans="51:68" x14ac:dyDescent="0.25"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141"/>
      <c r="BK108" s="136"/>
      <c r="BL108" s="136"/>
      <c r="BM108" s="54"/>
      <c r="BN108" s="54"/>
      <c r="BO108" s="54"/>
      <c r="BP108" s="54"/>
    </row>
    <row r="109" spans="51:68" x14ac:dyDescent="0.25"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141"/>
      <c r="BK109" s="136"/>
      <c r="BL109" s="136"/>
      <c r="BM109" s="54"/>
      <c r="BN109" s="54"/>
      <c r="BO109" s="54"/>
      <c r="BP109" s="54"/>
    </row>
    <row r="110" spans="51:68" x14ac:dyDescent="0.25"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141"/>
      <c r="BK110" s="136"/>
      <c r="BL110" s="136"/>
      <c r="BM110" s="54"/>
      <c r="BN110" s="54"/>
      <c r="BO110" s="54"/>
      <c r="BP110" s="54"/>
    </row>
    <row r="111" spans="51:68" x14ac:dyDescent="0.25"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141"/>
      <c r="BK111" s="136"/>
      <c r="BL111" s="136"/>
      <c r="BM111" s="54"/>
      <c r="BN111" s="54"/>
      <c r="BO111" s="54"/>
      <c r="BP111" s="54"/>
    </row>
    <row r="112" spans="51:68" x14ac:dyDescent="0.25"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54"/>
      <c r="BM112" s="54"/>
      <c r="BN112" s="54"/>
      <c r="BO112" s="54"/>
      <c r="BP112" s="54"/>
    </row>
    <row r="113" spans="51:68" x14ac:dyDescent="0.25"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</row>
    <row r="114" spans="51:68" x14ac:dyDescent="0.25"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</row>
    <row r="115" spans="51:68" x14ac:dyDescent="0.25"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</row>
    <row r="116" spans="51:68" x14ac:dyDescent="0.25"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</row>
    <row r="117" spans="51:68" x14ac:dyDescent="0.25"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</row>
    <row r="118" spans="51:68" x14ac:dyDescent="0.25"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</row>
    <row r="119" spans="51:68" x14ac:dyDescent="0.25"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</row>
    <row r="120" spans="51:68" x14ac:dyDescent="0.25">
      <c r="AY120" s="54"/>
      <c r="AZ120" s="54"/>
      <c r="BA120" s="54"/>
      <c r="BB120" s="54"/>
      <c r="BC120" s="54"/>
      <c r="BD120" s="54"/>
      <c r="BE120" s="54"/>
      <c r="BF120" s="54"/>
      <c r="BG120" s="54"/>
      <c r="BH120" s="54"/>
      <c r="BI120" s="54"/>
      <c r="BJ120" s="54"/>
      <c r="BK120" s="54"/>
      <c r="BL120" s="54"/>
      <c r="BM120" s="54"/>
      <c r="BN120" s="54"/>
      <c r="BO120" s="54"/>
      <c r="BP120" s="54"/>
    </row>
    <row r="121" spans="51:68" x14ac:dyDescent="0.25">
      <c r="AY121" s="54"/>
      <c r="AZ121" s="54"/>
      <c r="BA121" s="54"/>
      <c r="BB121" s="54"/>
      <c r="BC121" s="54"/>
      <c r="BD121" s="54"/>
      <c r="BE121" s="54"/>
      <c r="BF121" s="54"/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</row>
    <row r="122" spans="51:68" x14ac:dyDescent="0.25">
      <c r="AY122" s="54"/>
      <c r="AZ122" s="54"/>
      <c r="BA122" s="54"/>
      <c r="BB122" s="54"/>
      <c r="BC122" s="54"/>
      <c r="BD122" s="54"/>
      <c r="BE122" s="54"/>
      <c r="BF122" s="54"/>
      <c r="BG122" s="54"/>
      <c r="BH122" s="54"/>
      <c r="BI122" s="54"/>
      <c r="BJ122" s="141"/>
      <c r="BK122" s="141"/>
      <c r="BL122" s="141"/>
      <c r="BM122" s="54"/>
      <c r="BN122" s="54"/>
      <c r="BO122" s="54"/>
      <c r="BP122" s="54"/>
    </row>
    <row r="123" spans="51:68" x14ac:dyDescent="0.25">
      <c r="AY123" s="54"/>
      <c r="AZ123" s="54"/>
      <c r="BA123" s="54"/>
      <c r="BB123" s="54"/>
      <c r="BC123" s="54"/>
      <c r="BD123" s="54"/>
      <c r="BE123" s="54"/>
      <c r="BF123" s="54"/>
      <c r="BG123" s="54"/>
      <c r="BH123" s="54"/>
      <c r="BI123" s="54"/>
      <c r="BJ123" s="141"/>
      <c r="BK123" s="136"/>
      <c r="BL123" s="136"/>
      <c r="BM123" s="54"/>
      <c r="BN123" s="54"/>
      <c r="BO123" s="54"/>
      <c r="BP123" s="54"/>
    </row>
    <row r="124" spans="51:68" x14ac:dyDescent="0.25">
      <c r="AY124" s="54"/>
      <c r="AZ124" s="54"/>
      <c r="BA124" s="54"/>
      <c r="BB124" s="54"/>
      <c r="BC124" s="54"/>
      <c r="BD124" s="54"/>
      <c r="BE124" s="54"/>
      <c r="BF124" s="54"/>
      <c r="BG124" s="54"/>
      <c r="BH124" s="54"/>
      <c r="BI124" s="54"/>
      <c r="BJ124" s="141"/>
      <c r="BK124" s="136"/>
      <c r="BL124" s="136"/>
      <c r="BM124" s="54"/>
      <c r="BN124" s="54"/>
      <c r="BO124" s="54"/>
      <c r="BP124" s="54"/>
    </row>
    <row r="125" spans="51:68" x14ac:dyDescent="0.25">
      <c r="AY125" s="54"/>
      <c r="AZ125" s="54"/>
      <c r="BA125" s="54"/>
      <c r="BB125" s="54"/>
      <c r="BC125" s="54"/>
      <c r="BD125" s="54"/>
      <c r="BE125" s="54"/>
      <c r="BF125" s="54"/>
      <c r="BG125" s="54"/>
      <c r="BH125" s="54"/>
      <c r="BI125" s="54"/>
      <c r="BJ125" s="141"/>
      <c r="BK125" s="136"/>
      <c r="BL125" s="136"/>
      <c r="BM125" s="54"/>
      <c r="BN125" s="54"/>
      <c r="BO125" s="54"/>
      <c r="BP125" s="54"/>
    </row>
    <row r="126" spans="51:68" x14ac:dyDescent="0.25">
      <c r="AY126" s="54"/>
      <c r="AZ126" s="54"/>
      <c r="BA126" s="54"/>
      <c r="BB126" s="54"/>
      <c r="BC126" s="54"/>
      <c r="BD126" s="54"/>
      <c r="BE126" s="54"/>
      <c r="BF126" s="54"/>
      <c r="BG126" s="54"/>
      <c r="BH126" s="54"/>
      <c r="BI126" s="54"/>
      <c r="BJ126" s="141"/>
      <c r="BK126" s="136"/>
      <c r="BL126" s="136"/>
      <c r="BM126" s="54"/>
      <c r="BN126" s="54"/>
      <c r="BO126" s="54"/>
      <c r="BP126" s="54"/>
    </row>
    <row r="127" spans="51:68" x14ac:dyDescent="0.25">
      <c r="AY127" s="54"/>
      <c r="AZ127" s="54"/>
      <c r="BA127" s="54"/>
      <c r="BB127" s="54"/>
      <c r="BC127" s="54"/>
      <c r="BD127" s="54"/>
      <c r="BE127" s="54"/>
      <c r="BF127" s="54"/>
      <c r="BG127" s="54"/>
      <c r="BH127" s="54"/>
      <c r="BI127" s="54"/>
      <c r="BJ127" s="141"/>
      <c r="BK127" s="136"/>
      <c r="BL127" s="136"/>
      <c r="BM127" s="54"/>
      <c r="BN127" s="54"/>
      <c r="BO127" s="54"/>
      <c r="BP127" s="54"/>
    </row>
    <row r="128" spans="51:68" x14ac:dyDescent="0.25">
      <c r="AY128" s="54"/>
      <c r="AZ128" s="54"/>
      <c r="BA128" s="54"/>
      <c r="BB128" s="54"/>
      <c r="BC128" s="54"/>
      <c r="BD128" s="54"/>
      <c r="BE128" s="54"/>
      <c r="BF128" s="54"/>
      <c r="BG128" s="54"/>
      <c r="BH128" s="54"/>
      <c r="BI128" s="54"/>
      <c r="BJ128" s="141"/>
      <c r="BK128" s="136"/>
      <c r="BL128" s="136"/>
      <c r="BM128" s="54"/>
      <c r="BN128" s="54"/>
      <c r="BO128" s="54"/>
      <c r="BP128" s="54"/>
    </row>
    <row r="129" spans="51:68" x14ac:dyDescent="0.25">
      <c r="AY129" s="54"/>
      <c r="AZ129" s="54"/>
      <c r="BA129" s="54"/>
      <c r="BB129" s="54"/>
      <c r="BC129" s="54"/>
      <c r="BD129" s="54"/>
      <c r="BE129" s="54"/>
      <c r="BF129" s="54"/>
      <c r="BG129" s="54"/>
      <c r="BH129" s="54"/>
      <c r="BI129" s="54"/>
      <c r="BJ129" s="54"/>
      <c r="BK129" s="54"/>
      <c r="BL129" s="54"/>
      <c r="BM129" s="54"/>
      <c r="BN129" s="54"/>
      <c r="BO129" s="54"/>
      <c r="BP129" s="54"/>
    </row>
    <row r="130" spans="51:68" x14ac:dyDescent="0.25">
      <c r="AY130" s="54"/>
      <c r="AZ130" s="54"/>
      <c r="BA130" s="54"/>
      <c r="BB130" s="54"/>
      <c r="BC130" s="54"/>
      <c r="BD130" s="54"/>
      <c r="BE130" s="54"/>
      <c r="BF130" s="54"/>
      <c r="BG130" s="54"/>
      <c r="BH130" s="54"/>
      <c r="BI130" s="54"/>
      <c r="BJ130" s="54"/>
      <c r="BK130" s="54"/>
      <c r="BL130" s="54"/>
      <c r="BM130" s="54"/>
      <c r="BN130" s="54"/>
      <c r="BO130" s="54"/>
      <c r="BP130" s="54"/>
    </row>
    <row r="131" spans="51:68" x14ac:dyDescent="0.25">
      <c r="AY131" s="54"/>
      <c r="AZ131" s="54"/>
      <c r="BA131" s="54"/>
      <c r="BB131" s="54"/>
      <c r="BC131" s="54"/>
      <c r="BD131" s="54"/>
      <c r="BE131" s="54"/>
      <c r="BF131" s="54"/>
      <c r="BG131" s="54"/>
      <c r="BH131" s="54"/>
      <c r="BI131" s="54"/>
      <c r="BJ131" s="54"/>
      <c r="BK131" s="54"/>
      <c r="BL131" s="54"/>
      <c r="BM131" s="54"/>
      <c r="BN131" s="54"/>
      <c r="BO131" s="54"/>
      <c r="BP131" s="54"/>
    </row>
    <row r="132" spans="51:68" x14ac:dyDescent="0.25">
      <c r="AY132" s="54"/>
      <c r="AZ132" s="54"/>
      <c r="BA132" s="54"/>
      <c r="BB132" s="54"/>
      <c r="BC132" s="54"/>
      <c r="BD132" s="54"/>
      <c r="BE132" s="54"/>
      <c r="BF132" s="54"/>
      <c r="BG132" s="54"/>
      <c r="BH132" s="54"/>
      <c r="BI132" s="54"/>
      <c r="BJ132" s="54"/>
      <c r="BK132" s="54"/>
      <c r="BL132" s="54"/>
      <c r="BM132" s="54"/>
      <c r="BN132" s="54"/>
      <c r="BO132" s="54"/>
      <c r="BP132" s="54"/>
    </row>
    <row r="133" spans="51:68" x14ac:dyDescent="0.25"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54"/>
      <c r="BM133" s="54"/>
      <c r="BN133" s="54"/>
      <c r="BO133" s="54"/>
      <c r="BP133" s="54"/>
    </row>
    <row r="134" spans="51:68" x14ac:dyDescent="0.25">
      <c r="AY134" s="54"/>
      <c r="AZ134" s="54"/>
      <c r="BA134" s="54"/>
      <c r="BB134" s="54"/>
      <c r="BC134" s="54"/>
      <c r="BD134" s="54"/>
      <c r="BE134" s="54"/>
      <c r="BF134" s="54"/>
      <c r="BG134" s="54"/>
      <c r="BH134" s="54"/>
      <c r="BI134" s="54"/>
      <c r="BJ134" s="54"/>
      <c r="BK134" s="54"/>
      <c r="BL134" s="54"/>
      <c r="BM134" s="54"/>
      <c r="BN134" s="54"/>
      <c r="BO134" s="54"/>
      <c r="BP134" s="54"/>
    </row>
    <row r="135" spans="51:68" x14ac:dyDescent="0.25">
      <c r="AY135" s="54"/>
      <c r="AZ135" s="54"/>
      <c r="BA135" s="54"/>
      <c r="BB135" s="54"/>
      <c r="BC135" s="54"/>
      <c r="BD135" s="54"/>
      <c r="BE135" s="54"/>
      <c r="BF135" s="54"/>
      <c r="BG135" s="54"/>
      <c r="BH135" s="54"/>
      <c r="BI135" s="54"/>
      <c r="BJ135" s="54"/>
      <c r="BK135" s="54"/>
      <c r="BL135" s="54"/>
      <c r="BM135" s="54"/>
      <c r="BN135" s="54"/>
      <c r="BO135" s="54"/>
      <c r="BP135" s="54"/>
    </row>
    <row r="136" spans="51:68" x14ac:dyDescent="0.25">
      <c r="AY136" s="54"/>
      <c r="AZ136" s="54"/>
      <c r="BA136" s="54"/>
      <c r="BB136" s="54"/>
      <c r="BC136" s="54"/>
      <c r="BD136" s="54"/>
      <c r="BE136" s="54"/>
      <c r="BF136" s="54"/>
      <c r="BG136" s="54"/>
      <c r="BH136" s="54"/>
      <c r="BI136" s="54"/>
      <c r="BJ136" s="54"/>
      <c r="BK136" s="54"/>
      <c r="BL136" s="54"/>
      <c r="BM136" s="54"/>
      <c r="BN136" s="54"/>
      <c r="BO136" s="54"/>
      <c r="BP136" s="54"/>
    </row>
    <row r="137" spans="51:68" x14ac:dyDescent="0.25">
      <c r="AY137" s="54"/>
      <c r="AZ137" s="54"/>
      <c r="BA137" s="54"/>
      <c r="BB137" s="54"/>
      <c r="BC137" s="54"/>
      <c r="BD137" s="54"/>
      <c r="BE137" s="54"/>
      <c r="BF137" s="54"/>
      <c r="BG137" s="54"/>
      <c r="BH137" s="54"/>
      <c r="BI137" s="54"/>
      <c r="BJ137" s="54"/>
      <c r="BK137" s="54"/>
      <c r="BL137" s="54"/>
      <c r="BM137" s="54"/>
      <c r="BN137" s="54"/>
      <c r="BO137" s="54"/>
      <c r="BP137" s="54"/>
    </row>
    <row r="138" spans="51:68" x14ac:dyDescent="0.25">
      <c r="AY138" s="54"/>
      <c r="AZ138" s="54"/>
      <c r="BA138" s="54"/>
      <c r="BB138" s="54"/>
      <c r="BC138" s="54"/>
      <c r="BD138" s="54"/>
      <c r="BE138" s="54"/>
      <c r="BF138" s="54"/>
      <c r="BG138" s="54"/>
      <c r="BH138" s="54"/>
      <c r="BI138" s="54"/>
      <c r="BJ138" s="54"/>
      <c r="BK138" s="54"/>
      <c r="BL138" s="54"/>
      <c r="BM138" s="54"/>
      <c r="BN138" s="54"/>
      <c r="BO138" s="54"/>
      <c r="BP138" s="54"/>
    </row>
    <row r="139" spans="51:68" x14ac:dyDescent="0.25">
      <c r="AY139" s="54"/>
      <c r="AZ139" s="54"/>
      <c r="BA139" s="54"/>
      <c r="BB139" s="54"/>
      <c r="BC139" s="54"/>
      <c r="BD139" s="54"/>
      <c r="BE139" s="54"/>
      <c r="BF139" s="54"/>
      <c r="BG139" s="54"/>
      <c r="BH139" s="54"/>
      <c r="BI139" s="54"/>
      <c r="BJ139" s="54"/>
      <c r="BK139" s="54"/>
      <c r="BL139" s="54"/>
      <c r="BM139" s="54"/>
      <c r="BN139" s="54"/>
      <c r="BO139" s="54"/>
      <c r="BP139" s="54"/>
    </row>
    <row r="140" spans="51:68" x14ac:dyDescent="0.25">
      <c r="AY140" s="54"/>
      <c r="AZ140" s="54"/>
      <c r="BA140" s="54"/>
      <c r="BB140" s="54"/>
      <c r="BC140" s="54"/>
      <c r="BD140" s="54"/>
      <c r="BE140" s="54"/>
      <c r="BF140" s="54"/>
      <c r="BG140" s="54"/>
      <c r="BH140" s="54"/>
      <c r="BI140" s="54"/>
      <c r="BJ140" s="141"/>
      <c r="BK140" s="141"/>
      <c r="BL140" s="141"/>
      <c r="BM140" s="54"/>
      <c r="BN140" s="54"/>
      <c r="BO140" s="54"/>
      <c r="BP140" s="54"/>
    </row>
    <row r="141" spans="51:68" x14ac:dyDescent="0.25">
      <c r="AY141" s="54"/>
      <c r="AZ141" s="54"/>
      <c r="BA141" s="54"/>
      <c r="BB141" s="54"/>
      <c r="BC141" s="54"/>
      <c r="BD141" s="54"/>
      <c r="BE141" s="54"/>
      <c r="BF141" s="54"/>
      <c r="BG141" s="54"/>
      <c r="BH141" s="54"/>
      <c r="BI141" s="54"/>
      <c r="BJ141" s="141"/>
      <c r="BK141" s="136"/>
      <c r="BL141" s="136"/>
      <c r="BM141" s="54"/>
      <c r="BN141" s="54"/>
      <c r="BO141" s="54"/>
      <c r="BP141" s="54"/>
    </row>
    <row r="142" spans="51:68" x14ac:dyDescent="0.25">
      <c r="AY142" s="54"/>
      <c r="AZ142" s="54"/>
      <c r="BA142" s="54"/>
      <c r="BB142" s="54"/>
      <c r="BC142" s="54"/>
      <c r="BD142" s="54"/>
      <c r="BE142" s="54"/>
      <c r="BF142" s="54"/>
      <c r="BG142" s="54"/>
      <c r="BH142" s="54"/>
      <c r="BI142" s="54"/>
      <c r="BJ142" s="141"/>
      <c r="BK142" s="136"/>
      <c r="BL142" s="136"/>
      <c r="BM142" s="54"/>
      <c r="BN142" s="54"/>
      <c r="BO142" s="54"/>
      <c r="BP142" s="54"/>
    </row>
    <row r="143" spans="51:68" x14ac:dyDescent="0.25">
      <c r="AY143" s="54"/>
      <c r="AZ143" s="54"/>
      <c r="BA143" s="54"/>
      <c r="BB143" s="54"/>
      <c r="BC143" s="54"/>
      <c r="BD143" s="54"/>
      <c r="BE143" s="54"/>
      <c r="BF143" s="54"/>
      <c r="BG143" s="54"/>
      <c r="BH143" s="54"/>
      <c r="BI143" s="54"/>
      <c r="BJ143" s="141"/>
      <c r="BK143" s="136"/>
      <c r="BL143" s="136"/>
      <c r="BM143" s="54"/>
      <c r="BN143" s="54"/>
      <c r="BO143" s="54"/>
      <c r="BP143" s="54"/>
    </row>
    <row r="144" spans="51:68" x14ac:dyDescent="0.25">
      <c r="AY144" s="54"/>
      <c r="AZ144" s="54"/>
      <c r="BA144" s="54"/>
      <c r="BB144" s="54"/>
      <c r="BC144" s="54"/>
      <c r="BD144" s="54"/>
      <c r="BE144" s="54"/>
      <c r="BF144" s="54"/>
      <c r="BG144" s="54"/>
      <c r="BH144" s="54"/>
      <c r="BI144" s="54"/>
      <c r="BJ144" s="141"/>
      <c r="BK144" s="136"/>
      <c r="BL144" s="136"/>
      <c r="BM144" s="54"/>
      <c r="BN144" s="54"/>
      <c r="BO144" s="54"/>
      <c r="BP144" s="54"/>
    </row>
    <row r="145" spans="51:68" x14ac:dyDescent="0.25">
      <c r="AY145" s="54"/>
      <c r="AZ145" s="54"/>
      <c r="BA145" s="54"/>
      <c r="BB145" s="54"/>
      <c r="BC145" s="54"/>
      <c r="BD145" s="54"/>
      <c r="BE145" s="54"/>
      <c r="BF145" s="54"/>
      <c r="BG145" s="54"/>
      <c r="BH145" s="54"/>
      <c r="BI145" s="54"/>
      <c r="BJ145" s="141"/>
      <c r="BK145" s="136"/>
      <c r="BL145" s="136"/>
      <c r="BM145" s="54"/>
      <c r="BN145" s="54"/>
      <c r="BO145" s="54"/>
      <c r="BP145" s="54"/>
    </row>
    <row r="146" spans="51:68" x14ac:dyDescent="0.25">
      <c r="AY146" s="54"/>
      <c r="AZ146" s="54"/>
      <c r="BA146" s="54"/>
      <c r="BB146" s="54"/>
      <c r="BC146" s="54"/>
      <c r="BD146" s="54"/>
      <c r="BE146" s="54"/>
      <c r="BF146" s="54"/>
      <c r="BG146" s="54"/>
      <c r="BH146" s="54"/>
      <c r="BI146" s="54"/>
      <c r="BJ146" s="141"/>
      <c r="BK146" s="136"/>
      <c r="BL146" s="136"/>
      <c r="BM146" s="54"/>
      <c r="BN146" s="54"/>
      <c r="BO146" s="54"/>
      <c r="BP146" s="54"/>
    </row>
    <row r="147" spans="51:68" x14ac:dyDescent="0.25">
      <c r="AY147" s="54"/>
      <c r="AZ147" s="54"/>
      <c r="BA147" s="54"/>
      <c r="BB147" s="54"/>
      <c r="BC147" s="54"/>
      <c r="BD147" s="54"/>
      <c r="BE147" s="54"/>
      <c r="BF147" s="54"/>
      <c r="BG147" s="54"/>
      <c r="BH147" s="54"/>
      <c r="BI147" s="54"/>
      <c r="BJ147" s="54"/>
      <c r="BK147" s="54"/>
      <c r="BL147" s="54"/>
      <c r="BM147" s="54"/>
      <c r="BN147" s="54"/>
      <c r="BO147" s="54"/>
      <c r="BP147" s="54"/>
    </row>
    <row r="148" spans="51:68" x14ac:dyDescent="0.25">
      <c r="AY148" s="54"/>
      <c r="AZ148" s="54"/>
      <c r="BA148" s="54"/>
      <c r="BB148" s="54"/>
      <c r="BC148" s="54"/>
      <c r="BD148" s="54"/>
      <c r="BE148" s="54"/>
      <c r="BF148" s="54"/>
      <c r="BG148" s="54"/>
      <c r="BH148" s="54"/>
      <c r="BI148" s="54"/>
      <c r="BJ148" s="54"/>
      <c r="BK148" s="54"/>
      <c r="BL148" s="54"/>
      <c r="BM148" s="54"/>
      <c r="BN148" s="54"/>
      <c r="BO148" s="54"/>
      <c r="BP148" s="54"/>
    </row>
    <row r="149" spans="51:68" x14ac:dyDescent="0.25">
      <c r="AY149" s="54"/>
      <c r="AZ149" s="54"/>
      <c r="BA149" s="54"/>
      <c r="BB149" s="54"/>
      <c r="BC149" s="54"/>
      <c r="BD149" s="54"/>
      <c r="BE149" s="54"/>
      <c r="BF149" s="54"/>
      <c r="BG149" s="54"/>
      <c r="BH149" s="54"/>
      <c r="BI149" s="54"/>
      <c r="BJ149" s="54"/>
      <c r="BK149" s="54"/>
      <c r="BL149" s="54"/>
      <c r="BM149" s="54"/>
      <c r="BN149" s="54"/>
      <c r="BO149" s="54"/>
      <c r="BP149" s="54"/>
    </row>
    <row r="150" spans="51:68" x14ac:dyDescent="0.25">
      <c r="AY150" s="54"/>
      <c r="AZ150" s="54"/>
      <c r="BA150" s="54"/>
      <c r="BB150" s="54"/>
      <c r="BC150" s="54"/>
      <c r="BD150" s="54"/>
      <c r="BE150" s="54"/>
      <c r="BF150" s="54"/>
      <c r="BG150" s="54"/>
      <c r="BH150" s="54"/>
      <c r="BI150" s="54"/>
      <c r="BJ150" s="54"/>
      <c r="BK150" s="54"/>
      <c r="BL150" s="54"/>
      <c r="BM150" s="54"/>
      <c r="BN150" s="54"/>
      <c r="BO150" s="54"/>
      <c r="BP150" s="54"/>
    </row>
    <row r="151" spans="51:68" x14ac:dyDescent="0.25">
      <c r="AY151" s="54"/>
      <c r="AZ151" s="54"/>
      <c r="BA151" s="54"/>
      <c r="BB151" s="54"/>
      <c r="BC151" s="54"/>
      <c r="BD151" s="54"/>
      <c r="BE151" s="54"/>
      <c r="BF151" s="54"/>
      <c r="BG151" s="54"/>
      <c r="BH151" s="54"/>
      <c r="BI151" s="54"/>
      <c r="BJ151" s="54"/>
      <c r="BK151" s="54"/>
      <c r="BL151" s="54"/>
      <c r="BM151" s="54"/>
      <c r="BN151" s="54"/>
      <c r="BO151" s="54"/>
      <c r="BP151" s="54"/>
    </row>
    <row r="152" spans="51:68" x14ac:dyDescent="0.25">
      <c r="AY152" s="54"/>
      <c r="AZ152" s="54"/>
      <c r="BA152" s="54"/>
      <c r="BB152" s="54"/>
      <c r="BC152" s="54"/>
      <c r="BD152" s="54"/>
      <c r="BE152" s="54"/>
      <c r="BF152" s="54"/>
      <c r="BG152" s="54"/>
      <c r="BH152" s="54"/>
      <c r="BI152" s="54"/>
      <c r="BJ152" s="54"/>
      <c r="BK152" s="54"/>
      <c r="BL152" s="54"/>
      <c r="BM152" s="54"/>
      <c r="BN152" s="54"/>
      <c r="BO152" s="54"/>
      <c r="BP152" s="54"/>
    </row>
    <row r="153" spans="51:68" x14ac:dyDescent="0.25">
      <c r="AY153" s="54"/>
      <c r="AZ153" s="54"/>
      <c r="BA153" s="54"/>
      <c r="BB153" s="54"/>
      <c r="BC153" s="54"/>
      <c r="BD153" s="54"/>
      <c r="BE153" s="54"/>
      <c r="BF153" s="54"/>
      <c r="BG153" s="54"/>
      <c r="BH153" s="54"/>
      <c r="BI153" s="54"/>
      <c r="BJ153" s="54"/>
      <c r="BK153" s="54"/>
      <c r="BL153" s="54"/>
      <c r="BM153" s="54"/>
      <c r="BN153" s="54"/>
      <c r="BO153" s="54"/>
      <c r="BP153" s="54"/>
    </row>
    <row r="154" spans="51:68" x14ac:dyDescent="0.25">
      <c r="AY154" s="54"/>
      <c r="AZ154" s="54"/>
      <c r="BA154" s="54"/>
      <c r="BB154" s="54"/>
      <c r="BC154" s="54"/>
      <c r="BD154" s="54"/>
      <c r="BE154" s="54"/>
      <c r="BF154" s="54"/>
      <c r="BG154" s="54"/>
      <c r="BH154" s="54"/>
      <c r="BI154" s="54"/>
      <c r="BJ154" s="54"/>
      <c r="BK154" s="54"/>
      <c r="BL154" s="54"/>
      <c r="BM154" s="54"/>
      <c r="BN154" s="54"/>
      <c r="BO154" s="54"/>
      <c r="BP154" s="54"/>
    </row>
    <row r="155" spans="51:68" x14ac:dyDescent="0.25">
      <c r="AY155" s="54"/>
      <c r="AZ155" s="54"/>
      <c r="BA155" s="54"/>
      <c r="BB155" s="54"/>
      <c r="BC155" s="54"/>
      <c r="BD155" s="54"/>
      <c r="BE155" s="54"/>
      <c r="BF155" s="54"/>
      <c r="BG155" s="54"/>
      <c r="BH155" s="54"/>
      <c r="BI155" s="54"/>
      <c r="BJ155" s="54"/>
      <c r="BK155" s="54"/>
      <c r="BL155" s="54"/>
      <c r="BM155" s="54"/>
      <c r="BN155" s="54"/>
      <c r="BO155" s="54"/>
      <c r="BP155" s="54"/>
    </row>
    <row r="156" spans="51:68" x14ac:dyDescent="0.25">
      <c r="AY156" s="54"/>
      <c r="AZ156" s="54"/>
      <c r="BA156" s="54"/>
      <c r="BB156" s="54"/>
      <c r="BC156" s="54"/>
      <c r="BD156" s="54"/>
      <c r="BE156" s="54"/>
      <c r="BF156" s="54"/>
      <c r="BG156" s="54"/>
      <c r="BH156" s="54"/>
      <c r="BI156" s="54"/>
      <c r="BJ156" s="54"/>
      <c r="BK156" s="54"/>
      <c r="BL156" s="54"/>
      <c r="BM156" s="54"/>
      <c r="BN156" s="54"/>
      <c r="BO156" s="54"/>
      <c r="BP156" s="54"/>
    </row>
    <row r="157" spans="51:68" x14ac:dyDescent="0.25">
      <c r="AY157" s="54"/>
      <c r="AZ157" s="54"/>
      <c r="BA157" s="54"/>
      <c r="BB157" s="54"/>
      <c r="BC157" s="54"/>
      <c r="BD157" s="54"/>
      <c r="BE157" s="54"/>
      <c r="BF157" s="54"/>
      <c r="BG157" s="54"/>
      <c r="BH157" s="54"/>
      <c r="BI157" s="54"/>
      <c r="BJ157" s="141"/>
      <c r="BK157" s="141"/>
      <c r="BL157" s="141"/>
      <c r="BM157" s="54"/>
      <c r="BN157" s="54"/>
      <c r="BO157" s="54"/>
      <c r="BP157" s="54"/>
    </row>
    <row r="158" spans="51:68" x14ac:dyDescent="0.25">
      <c r="AY158" s="54"/>
      <c r="AZ158" s="54"/>
      <c r="BA158" s="54"/>
      <c r="BB158" s="54"/>
      <c r="BC158" s="54"/>
      <c r="BD158" s="54"/>
      <c r="BE158" s="54"/>
      <c r="BF158" s="54"/>
      <c r="BG158" s="54"/>
      <c r="BH158" s="54"/>
      <c r="BI158" s="54"/>
      <c r="BJ158" s="141"/>
      <c r="BK158" s="136"/>
      <c r="BL158" s="136"/>
      <c r="BM158" s="54"/>
      <c r="BN158" s="54"/>
      <c r="BO158" s="54"/>
      <c r="BP158" s="54"/>
    </row>
    <row r="159" spans="51:68" x14ac:dyDescent="0.25">
      <c r="AY159" s="54"/>
      <c r="AZ159" s="54"/>
      <c r="BA159" s="54"/>
      <c r="BB159" s="54"/>
      <c r="BC159" s="54"/>
      <c r="BD159" s="54"/>
      <c r="BE159" s="54"/>
      <c r="BF159" s="54"/>
      <c r="BG159" s="54"/>
      <c r="BH159" s="54"/>
      <c r="BI159" s="54"/>
      <c r="BJ159" s="141"/>
      <c r="BK159" s="136"/>
      <c r="BL159" s="136"/>
      <c r="BM159" s="54"/>
      <c r="BN159" s="54"/>
      <c r="BO159" s="54"/>
      <c r="BP159" s="54"/>
    </row>
    <row r="160" spans="51:68" x14ac:dyDescent="0.25">
      <c r="AY160" s="54"/>
      <c r="AZ160" s="54"/>
      <c r="BA160" s="54"/>
      <c r="BB160" s="54"/>
      <c r="BC160" s="54"/>
      <c r="BD160" s="54"/>
      <c r="BE160" s="54"/>
      <c r="BF160" s="54"/>
      <c r="BG160" s="54"/>
      <c r="BH160" s="54"/>
      <c r="BI160" s="54"/>
      <c r="BJ160" s="141"/>
      <c r="BK160" s="136"/>
      <c r="BL160" s="136"/>
      <c r="BM160" s="54"/>
      <c r="BN160" s="54"/>
      <c r="BO160" s="54"/>
      <c r="BP160" s="54"/>
    </row>
    <row r="161" spans="51:68" x14ac:dyDescent="0.25">
      <c r="AY161" s="54"/>
      <c r="AZ161" s="54"/>
      <c r="BA161" s="54"/>
      <c r="BB161" s="54"/>
      <c r="BC161" s="54"/>
      <c r="BD161" s="54"/>
      <c r="BE161" s="54"/>
      <c r="BF161" s="54"/>
      <c r="BG161" s="54"/>
      <c r="BH161" s="54"/>
      <c r="BI161" s="54"/>
      <c r="BJ161" s="141"/>
      <c r="BK161" s="136"/>
      <c r="BL161" s="136"/>
      <c r="BM161" s="54"/>
      <c r="BN161" s="54"/>
      <c r="BO161" s="54"/>
      <c r="BP161" s="54"/>
    </row>
    <row r="162" spans="51:68" x14ac:dyDescent="0.25">
      <c r="AY162" s="54"/>
      <c r="AZ162" s="54"/>
      <c r="BA162" s="54"/>
      <c r="BB162" s="54"/>
      <c r="BC162" s="54"/>
      <c r="BD162" s="54"/>
      <c r="BE162" s="54"/>
      <c r="BF162" s="54"/>
      <c r="BG162" s="54"/>
      <c r="BH162" s="54"/>
      <c r="BI162" s="54"/>
      <c r="BJ162" s="141"/>
      <c r="BK162" s="136"/>
      <c r="BL162" s="136"/>
      <c r="BM162" s="54"/>
      <c r="BN162" s="54"/>
      <c r="BO162" s="54"/>
      <c r="BP162" s="54"/>
    </row>
    <row r="163" spans="51:68" x14ac:dyDescent="0.25">
      <c r="AY163" s="54"/>
      <c r="AZ163" s="54"/>
      <c r="BA163" s="54"/>
      <c r="BB163" s="54"/>
      <c r="BC163" s="54"/>
      <c r="BD163" s="54"/>
      <c r="BE163" s="54"/>
      <c r="BF163" s="54"/>
      <c r="BG163" s="54"/>
      <c r="BH163" s="54"/>
      <c r="BI163" s="54"/>
      <c r="BJ163" s="141"/>
      <c r="BK163" s="136"/>
      <c r="BL163" s="136"/>
      <c r="BM163" s="54"/>
      <c r="BN163" s="54"/>
      <c r="BO163" s="54"/>
      <c r="BP163" s="54"/>
    </row>
    <row r="164" spans="51:68" x14ac:dyDescent="0.25">
      <c r="AY164" s="54"/>
      <c r="AZ164" s="54"/>
      <c r="BA164" s="54"/>
      <c r="BB164" s="54"/>
      <c r="BC164" s="54"/>
      <c r="BD164" s="54"/>
      <c r="BE164" s="54"/>
      <c r="BF164" s="54"/>
      <c r="BG164" s="54"/>
      <c r="BH164" s="54"/>
      <c r="BI164" s="54"/>
      <c r="BJ164" s="54"/>
      <c r="BK164" s="54"/>
      <c r="BL164" s="54"/>
      <c r="BM164" s="54"/>
      <c r="BN164" s="54"/>
      <c r="BO164" s="54"/>
      <c r="BP164" s="54"/>
    </row>
    <row r="165" spans="51:68" x14ac:dyDescent="0.25">
      <c r="AY165" s="54"/>
      <c r="AZ165" s="54"/>
      <c r="BA165" s="54"/>
      <c r="BB165" s="54"/>
      <c r="BC165" s="54"/>
      <c r="BD165" s="54"/>
      <c r="BE165" s="54"/>
      <c r="BF165" s="54"/>
      <c r="BG165" s="54"/>
      <c r="BH165" s="54"/>
      <c r="BI165" s="54"/>
      <c r="BJ165" s="54"/>
      <c r="BK165" s="54"/>
      <c r="BL165" s="54"/>
      <c r="BM165" s="54"/>
      <c r="BN165" s="54"/>
      <c r="BO165" s="54"/>
      <c r="BP165" s="54"/>
    </row>
    <row r="166" spans="51:68" x14ac:dyDescent="0.25">
      <c r="AY166" s="54"/>
      <c r="AZ166" s="54"/>
      <c r="BA166" s="54"/>
      <c r="BB166" s="54"/>
      <c r="BC166" s="54"/>
      <c r="BD166" s="54"/>
      <c r="BE166" s="54"/>
      <c r="BF166" s="54"/>
      <c r="BG166" s="54"/>
      <c r="BH166" s="54"/>
      <c r="BI166" s="54"/>
      <c r="BJ166" s="54"/>
      <c r="BK166" s="54"/>
      <c r="BL166" s="54"/>
      <c r="BM166" s="54"/>
      <c r="BN166" s="54"/>
      <c r="BO166" s="54"/>
      <c r="BP166" s="54"/>
    </row>
    <row r="167" spans="51:68" x14ac:dyDescent="0.25">
      <c r="AY167" s="54"/>
      <c r="AZ167" s="54"/>
      <c r="BA167" s="54"/>
      <c r="BB167" s="54"/>
      <c r="BC167" s="54"/>
      <c r="BD167" s="54"/>
      <c r="BE167" s="54"/>
      <c r="BF167" s="54"/>
      <c r="BG167" s="54"/>
      <c r="BH167" s="54"/>
      <c r="BI167" s="54"/>
      <c r="BJ167" s="54"/>
      <c r="BK167" s="54"/>
      <c r="BL167" s="54"/>
      <c r="BM167" s="54"/>
      <c r="BN167" s="54"/>
      <c r="BO167" s="54"/>
      <c r="BP167" s="54"/>
    </row>
    <row r="168" spans="51:68" x14ac:dyDescent="0.25">
      <c r="AY168" s="54"/>
      <c r="AZ168" s="54"/>
      <c r="BA168" s="54"/>
      <c r="BB168" s="54"/>
      <c r="BC168" s="54"/>
      <c r="BD168" s="54"/>
      <c r="BE168" s="54"/>
      <c r="BF168" s="54"/>
      <c r="BG168" s="54"/>
      <c r="BH168" s="54"/>
      <c r="BI168" s="54"/>
      <c r="BJ168" s="54"/>
      <c r="BK168" s="54"/>
      <c r="BL168" s="54"/>
      <c r="BM168" s="54"/>
      <c r="BN168" s="54"/>
      <c r="BO168" s="54"/>
      <c r="BP168" s="54"/>
    </row>
    <row r="169" spans="51:68" x14ac:dyDescent="0.25">
      <c r="AY169" s="54"/>
      <c r="AZ169" s="54"/>
      <c r="BA169" s="54"/>
      <c r="BB169" s="54"/>
      <c r="BC169" s="54"/>
      <c r="BD169" s="54"/>
      <c r="BE169" s="54"/>
      <c r="BF169" s="54"/>
      <c r="BG169" s="54"/>
      <c r="BH169" s="54"/>
      <c r="BI169" s="54"/>
      <c r="BJ169" s="54"/>
      <c r="BK169" s="54"/>
      <c r="BL169" s="54"/>
      <c r="BM169" s="54"/>
      <c r="BN169" s="54"/>
      <c r="BO169" s="54"/>
      <c r="BP169" s="54"/>
    </row>
    <row r="170" spans="51:68" x14ac:dyDescent="0.25">
      <c r="AY170" s="54"/>
      <c r="AZ170" s="54"/>
      <c r="BA170" s="54"/>
      <c r="BB170" s="54"/>
      <c r="BC170" s="54"/>
      <c r="BD170" s="54"/>
      <c r="BE170" s="54"/>
      <c r="BF170" s="54"/>
      <c r="BG170" s="54"/>
      <c r="BH170" s="54"/>
      <c r="BI170" s="54"/>
      <c r="BJ170" s="54"/>
      <c r="BK170" s="54"/>
      <c r="BL170" s="54"/>
      <c r="BM170" s="54"/>
      <c r="BN170" s="54"/>
      <c r="BO170" s="54"/>
      <c r="BP170" s="54"/>
    </row>
    <row r="171" spans="51:68" x14ac:dyDescent="0.25">
      <c r="AY171" s="54"/>
      <c r="AZ171" s="54"/>
      <c r="BA171" s="54"/>
      <c r="BB171" s="54"/>
      <c r="BC171" s="54"/>
      <c r="BD171" s="54"/>
      <c r="BE171" s="54"/>
      <c r="BF171" s="54"/>
      <c r="BG171" s="54"/>
      <c r="BH171" s="54"/>
      <c r="BI171" s="54"/>
      <c r="BJ171" s="54"/>
      <c r="BK171" s="54"/>
      <c r="BL171" s="54"/>
      <c r="BM171" s="54"/>
      <c r="BN171" s="54"/>
      <c r="BO171" s="54"/>
      <c r="BP171" s="54"/>
    </row>
    <row r="172" spans="51:68" x14ac:dyDescent="0.25">
      <c r="AY172" s="54"/>
      <c r="AZ172" s="54"/>
      <c r="BA172" s="54"/>
      <c r="BB172" s="54"/>
      <c r="BC172" s="54"/>
      <c r="BD172" s="54"/>
      <c r="BE172" s="54"/>
      <c r="BF172" s="54"/>
      <c r="BG172" s="54"/>
      <c r="BH172" s="54"/>
      <c r="BI172" s="54"/>
      <c r="BJ172" s="54"/>
      <c r="BK172" s="54"/>
      <c r="BL172" s="54"/>
      <c r="BM172" s="54"/>
      <c r="BN172" s="54"/>
      <c r="BO172" s="54"/>
      <c r="BP172" s="54"/>
    </row>
    <row r="173" spans="51:68" x14ac:dyDescent="0.25">
      <c r="AY173" s="54"/>
      <c r="AZ173" s="54"/>
      <c r="BA173" s="54"/>
      <c r="BB173" s="54"/>
      <c r="BC173" s="54"/>
      <c r="BD173" s="54"/>
      <c r="BE173" s="54"/>
      <c r="BF173" s="54"/>
      <c r="BG173" s="54"/>
      <c r="BH173" s="54"/>
      <c r="BI173" s="54"/>
      <c r="BJ173" s="54"/>
      <c r="BK173" s="54"/>
      <c r="BL173" s="54"/>
      <c r="BM173" s="54"/>
      <c r="BN173" s="54"/>
      <c r="BO173" s="54"/>
      <c r="BP173" s="54"/>
    </row>
    <row r="174" spans="51:68" x14ac:dyDescent="0.25">
      <c r="AY174" s="54"/>
      <c r="AZ174" s="54"/>
      <c r="BA174" s="54"/>
      <c r="BB174" s="54"/>
      <c r="BC174" s="54"/>
      <c r="BD174" s="54"/>
      <c r="BE174" s="54"/>
      <c r="BF174" s="54"/>
      <c r="BG174" s="54"/>
      <c r="BH174" s="54"/>
      <c r="BI174" s="54"/>
      <c r="BJ174" s="141"/>
      <c r="BK174" s="141"/>
      <c r="BL174" s="141"/>
      <c r="BM174" s="54"/>
      <c r="BN174" s="54"/>
      <c r="BO174" s="54"/>
      <c r="BP174" s="54"/>
    </row>
    <row r="175" spans="51:68" x14ac:dyDescent="0.25">
      <c r="AY175" s="54"/>
      <c r="AZ175" s="54"/>
      <c r="BA175" s="54"/>
      <c r="BB175" s="54"/>
      <c r="BC175" s="54"/>
      <c r="BD175" s="54"/>
      <c r="BE175" s="54"/>
      <c r="BF175" s="54"/>
      <c r="BG175" s="54"/>
      <c r="BH175" s="54"/>
      <c r="BI175" s="54"/>
      <c r="BJ175" s="141"/>
      <c r="BK175" s="136"/>
      <c r="BL175" s="136"/>
      <c r="BM175" s="54"/>
      <c r="BN175" s="54"/>
      <c r="BO175" s="54"/>
      <c r="BP175" s="54"/>
    </row>
    <row r="176" spans="51:68" x14ac:dyDescent="0.25">
      <c r="AY176" s="54"/>
      <c r="AZ176" s="54"/>
      <c r="BA176" s="54"/>
      <c r="BB176" s="54"/>
      <c r="BC176" s="54"/>
      <c r="BD176" s="54"/>
      <c r="BE176" s="54"/>
      <c r="BF176" s="54"/>
      <c r="BG176" s="54"/>
      <c r="BH176" s="54"/>
      <c r="BI176" s="54"/>
      <c r="BJ176" s="141"/>
      <c r="BK176" s="136"/>
      <c r="BL176" s="136"/>
      <c r="BM176" s="54"/>
      <c r="BN176" s="54"/>
      <c r="BO176" s="54"/>
      <c r="BP176" s="54"/>
    </row>
    <row r="177" spans="51:68" x14ac:dyDescent="0.25">
      <c r="AY177" s="54"/>
      <c r="AZ177" s="54"/>
      <c r="BA177" s="54"/>
      <c r="BB177" s="54"/>
      <c r="BC177" s="54"/>
      <c r="BD177" s="54"/>
      <c r="BE177" s="54"/>
      <c r="BF177" s="54"/>
      <c r="BG177" s="54"/>
      <c r="BH177" s="54"/>
      <c r="BI177" s="54"/>
      <c r="BJ177" s="141"/>
      <c r="BK177" s="136"/>
      <c r="BL177" s="136"/>
      <c r="BM177" s="54"/>
      <c r="BN177" s="54"/>
      <c r="BO177" s="54"/>
      <c r="BP177" s="54"/>
    </row>
    <row r="178" spans="51:68" x14ac:dyDescent="0.25">
      <c r="AY178" s="54"/>
      <c r="AZ178" s="54"/>
      <c r="BA178" s="54"/>
      <c r="BB178" s="54"/>
      <c r="BC178" s="54"/>
      <c r="BD178" s="54"/>
      <c r="BE178" s="54"/>
      <c r="BF178" s="54"/>
      <c r="BG178" s="54"/>
      <c r="BH178" s="54"/>
      <c r="BI178" s="54"/>
      <c r="BJ178" s="141"/>
      <c r="BK178" s="136"/>
      <c r="BL178" s="136"/>
      <c r="BM178" s="54"/>
      <c r="BN178" s="54"/>
      <c r="BO178" s="54"/>
      <c r="BP178" s="54"/>
    </row>
    <row r="179" spans="51:68" x14ac:dyDescent="0.25">
      <c r="AY179" s="54"/>
      <c r="AZ179" s="54"/>
      <c r="BA179" s="54"/>
      <c r="BB179" s="54"/>
      <c r="BC179" s="54"/>
      <c r="BD179" s="54"/>
      <c r="BE179" s="54"/>
      <c r="BF179" s="54"/>
      <c r="BG179" s="54"/>
      <c r="BH179" s="54"/>
      <c r="BI179" s="54"/>
      <c r="BJ179" s="141"/>
      <c r="BK179" s="136"/>
      <c r="BL179" s="136"/>
      <c r="BM179" s="54"/>
      <c r="BN179" s="54"/>
      <c r="BO179" s="54"/>
      <c r="BP179" s="54"/>
    </row>
    <row r="180" spans="51:68" x14ac:dyDescent="0.25">
      <c r="AY180" s="54"/>
      <c r="AZ180" s="54"/>
      <c r="BA180" s="54"/>
      <c r="BB180" s="54"/>
      <c r="BC180" s="54"/>
      <c r="BD180" s="54"/>
      <c r="BE180" s="54"/>
      <c r="BF180" s="54"/>
      <c r="BG180" s="54"/>
      <c r="BH180" s="54"/>
      <c r="BI180" s="54"/>
      <c r="BJ180" s="141"/>
      <c r="BK180" s="136"/>
      <c r="BL180" s="136"/>
      <c r="BM180" s="54"/>
      <c r="BN180" s="54"/>
      <c r="BO180" s="54"/>
      <c r="BP180" s="54"/>
    </row>
    <row r="181" spans="51:68" x14ac:dyDescent="0.25">
      <c r="AY181" s="54"/>
      <c r="AZ181" s="54"/>
      <c r="BA181" s="54"/>
      <c r="BB181" s="54"/>
      <c r="BC181" s="54"/>
      <c r="BD181" s="54"/>
      <c r="BE181" s="54"/>
      <c r="BF181" s="54"/>
      <c r="BG181" s="54"/>
      <c r="BH181" s="54"/>
      <c r="BI181" s="54"/>
      <c r="BJ181" s="54"/>
      <c r="BK181" s="54"/>
      <c r="BL181" s="54"/>
      <c r="BM181" s="54"/>
      <c r="BN181" s="54"/>
      <c r="BO181" s="54"/>
      <c r="BP181" s="54"/>
    </row>
    <row r="182" spans="51:68" x14ac:dyDescent="0.25">
      <c r="AY182" s="54"/>
      <c r="AZ182" s="54"/>
      <c r="BA182" s="54"/>
      <c r="BB182" s="54"/>
      <c r="BC182" s="54"/>
      <c r="BD182" s="54"/>
      <c r="BE182" s="54"/>
      <c r="BF182" s="54"/>
      <c r="BG182" s="54"/>
      <c r="BH182" s="54"/>
      <c r="BI182" s="54"/>
      <c r="BJ182" s="54"/>
      <c r="BK182" s="54"/>
      <c r="BL182" s="54"/>
      <c r="BM182" s="54"/>
      <c r="BN182" s="54"/>
      <c r="BO182" s="54"/>
      <c r="BP182" s="54"/>
    </row>
    <row r="183" spans="51:68" x14ac:dyDescent="0.25">
      <c r="AY183" s="54"/>
      <c r="AZ183" s="54"/>
      <c r="BA183" s="54"/>
      <c r="BB183" s="54"/>
      <c r="BC183" s="54"/>
      <c r="BD183" s="54"/>
      <c r="BE183" s="54"/>
      <c r="BF183" s="54"/>
      <c r="BG183" s="54"/>
      <c r="BH183" s="54"/>
      <c r="BI183" s="54"/>
      <c r="BJ183" s="54"/>
      <c r="BK183" s="54"/>
      <c r="BL183" s="54"/>
      <c r="BM183" s="54"/>
      <c r="BN183" s="54"/>
      <c r="BO183" s="54"/>
      <c r="BP183" s="54"/>
    </row>
    <row r="184" spans="51:68" x14ac:dyDescent="0.25">
      <c r="AY184" s="54"/>
      <c r="AZ184" s="54"/>
      <c r="BA184" s="54"/>
      <c r="BB184" s="54"/>
      <c r="BC184" s="54"/>
      <c r="BD184" s="54"/>
      <c r="BE184" s="54"/>
      <c r="BF184" s="54"/>
      <c r="BG184" s="54"/>
      <c r="BH184" s="54"/>
      <c r="BI184" s="54"/>
      <c r="BJ184" s="54"/>
      <c r="BK184" s="54"/>
      <c r="BL184" s="54"/>
      <c r="BM184" s="54"/>
      <c r="BN184" s="54"/>
      <c r="BO184" s="54"/>
      <c r="BP184" s="54"/>
    </row>
    <row r="185" spans="51:68" x14ac:dyDescent="0.25">
      <c r="AY185" s="54"/>
      <c r="AZ185" s="54"/>
      <c r="BA185" s="54"/>
      <c r="BB185" s="54"/>
      <c r="BC185" s="54"/>
      <c r="BD185" s="54"/>
      <c r="BE185" s="54"/>
      <c r="BF185" s="54"/>
      <c r="BG185" s="54"/>
      <c r="BH185" s="54"/>
      <c r="BI185" s="54"/>
      <c r="BJ185" s="54"/>
      <c r="BK185" s="54"/>
      <c r="BL185" s="54"/>
      <c r="BM185" s="54"/>
      <c r="BN185" s="54"/>
      <c r="BO185" s="54"/>
      <c r="BP185" s="54"/>
    </row>
    <row r="186" spans="51:68" x14ac:dyDescent="0.25">
      <c r="AY186" s="54"/>
      <c r="AZ186" s="54"/>
      <c r="BA186" s="54"/>
      <c r="BB186" s="54"/>
      <c r="BC186" s="54"/>
      <c r="BD186" s="54"/>
      <c r="BE186" s="54"/>
      <c r="BF186" s="54"/>
      <c r="BG186" s="54"/>
      <c r="BH186" s="54"/>
      <c r="BI186" s="54"/>
      <c r="BJ186" s="54"/>
      <c r="BK186" s="54"/>
      <c r="BL186" s="54"/>
      <c r="BM186" s="54"/>
      <c r="BN186" s="54"/>
      <c r="BO186" s="54"/>
      <c r="BP186" s="54"/>
    </row>
    <row r="187" spans="51:68" x14ac:dyDescent="0.25">
      <c r="AY187" s="54"/>
      <c r="AZ187" s="54"/>
      <c r="BA187" s="54"/>
      <c r="BB187" s="54"/>
      <c r="BC187" s="54"/>
      <c r="BD187" s="54"/>
      <c r="BE187" s="54"/>
      <c r="BF187" s="54"/>
      <c r="BG187" s="54"/>
      <c r="BH187" s="54"/>
      <c r="BI187" s="54"/>
      <c r="BJ187" s="54"/>
      <c r="BK187" s="54"/>
      <c r="BL187" s="54"/>
      <c r="BM187" s="54"/>
      <c r="BN187" s="54"/>
      <c r="BO187" s="54"/>
      <c r="BP187" s="54"/>
    </row>
    <row r="188" spans="51:68" x14ac:dyDescent="0.25">
      <c r="AY188" s="54"/>
      <c r="AZ188" s="54"/>
      <c r="BA188" s="54"/>
      <c r="BB188" s="54"/>
      <c r="BC188" s="54"/>
      <c r="BD188" s="54"/>
      <c r="BE188" s="54"/>
      <c r="BF188" s="54"/>
      <c r="BG188" s="54"/>
      <c r="BH188" s="54"/>
      <c r="BI188" s="54"/>
      <c r="BJ188" s="54"/>
      <c r="BK188" s="54"/>
      <c r="BL188" s="54"/>
      <c r="BM188" s="54"/>
      <c r="BN188" s="54"/>
      <c r="BO188" s="54"/>
      <c r="BP188" s="54"/>
    </row>
    <row r="189" spans="51:68" x14ac:dyDescent="0.25">
      <c r="AY189" s="54"/>
      <c r="AZ189" s="54"/>
      <c r="BA189" s="54"/>
      <c r="BB189" s="54"/>
      <c r="BC189" s="54"/>
      <c r="BD189" s="54"/>
      <c r="BE189" s="54"/>
      <c r="BF189" s="54"/>
      <c r="BG189" s="54"/>
      <c r="BH189" s="54"/>
      <c r="BI189" s="54"/>
      <c r="BJ189" s="54"/>
      <c r="BK189" s="54"/>
      <c r="BL189" s="54"/>
      <c r="BM189" s="54"/>
      <c r="BN189" s="54"/>
      <c r="BO189" s="54"/>
      <c r="BP189" s="54"/>
    </row>
    <row r="190" spans="51:68" x14ac:dyDescent="0.25">
      <c r="AY190" s="54"/>
      <c r="AZ190" s="54"/>
      <c r="BA190" s="54"/>
      <c r="BB190" s="54"/>
      <c r="BC190" s="54"/>
      <c r="BD190" s="54"/>
      <c r="BE190" s="54"/>
      <c r="BF190" s="54"/>
      <c r="BG190" s="54"/>
      <c r="BH190" s="54"/>
      <c r="BI190" s="54"/>
      <c r="BJ190" s="54"/>
      <c r="BK190" s="54"/>
      <c r="BL190" s="54"/>
      <c r="BM190" s="54"/>
      <c r="BN190" s="54"/>
      <c r="BO190" s="54"/>
      <c r="BP190" s="54"/>
    </row>
    <row r="191" spans="51:68" x14ac:dyDescent="0.25">
      <c r="AY191" s="54"/>
      <c r="AZ191" s="54"/>
      <c r="BA191" s="54"/>
      <c r="BB191" s="54"/>
      <c r="BC191" s="54"/>
      <c r="BD191" s="54"/>
      <c r="BE191" s="54"/>
      <c r="BF191" s="54"/>
      <c r="BG191" s="54"/>
      <c r="BH191" s="54"/>
      <c r="BI191" s="54"/>
      <c r="BJ191" s="141"/>
      <c r="BK191" s="141"/>
      <c r="BL191" s="141"/>
      <c r="BM191" s="54"/>
      <c r="BN191" s="54"/>
      <c r="BO191" s="54"/>
      <c r="BP191" s="54"/>
    </row>
    <row r="192" spans="51:68" x14ac:dyDescent="0.25">
      <c r="AY192" s="54"/>
      <c r="AZ192" s="54"/>
      <c r="BA192" s="54"/>
      <c r="BB192" s="54"/>
      <c r="BC192" s="54"/>
      <c r="BD192" s="54"/>
      <c r="BE192" s="54"/>
      <c r="BF192" s="54"/>
      <c r="BG192" s="54"/>
      <c r="BH192" s="54"/>
      <c r="BI192" s="54"/>
      <c r="BJ192" s="141"/>
      <c r="BK192" s="136"/>
      <c r="BL192" s="136"/>
      <c r="BM192" s="54"/>
      <c r="BN192" s="54"/>
      <c r="BO192" s="54"/>
      <c r="BP192" s="54"/>
    </row>
    <row r="193" spans="51:68" x14ac:dyDescent="0.25">
      <c r="AY193" s="54"/>
      <c r="AZ193" s="54"/>
      <c r="BA193" s="54"/>
      <c r="BB193" s="54"/>
      <c r="BC193" s="54"/>
      <c r="BD193" s="54"/>
      <c r="BE193" s="54"/>
      <c r="BF193" s="54"/>
      <c r="BG193" s="54"/>
      <c r="BH193" s="54"/>
      <c r="BI193" s="54"/>
      <c r="BJ193" s="141"/>
      <c r="BK193" s="136"/>
      <c r="BL193" s="136"/>
      <c r="BM193" s="54"/>
      <c r="BN193" s="54"/>
      <c r="BO193" s="54"/>
      <c r="BP193" s="54"/>
    </row>
    <row r="194" spans="51:68" x14ac:dyDescent="0.25">
      <c r="AY194" s="54"/>
      <c r="AZ194" s="54"/>
      <c r="BA194" s="54"/>
      <c r="BB194" s="54"/>
      <c r="BC194" s="54"/>
      <c r="BD194" s="54"/>
      <c r="BE194" s="54"/>
      <c r="BF194" s="54"/>
      <c r="BG194" s="54"/>
      <c r="BH194" s="54"/>
      <c r="BI194" s="54"/>
      <c r="BJ194" s="141"/>
      <c r="BK194" s="136"/>
      <c r="BL194" s="136"/>
      <c r="BM194" s="54"/>
      <c r="BN194" s="54"/>
      <c r="BO194" s="54"/>
      <c r="BP194" s="54"/>
    </row>
    <row r="195" spans="51:68" x14ac:dyDescent="0.25">
      <c r="AY195" s="54"/>
      <c r="AZ195" s="54"/>
      <c r="BA195" s="54"/>
      <c r="BB195" s="54"/>
      <c r="BC195" s="54"/>
      <c r="BD195" s="54"/>
      <c r="BE195" s="54"/>
      <c r="BF195" s="54"/>
      <c r="BG195" s="54"/>
      <c r="BH195" s="54"/>
      <c r="BI195" s="54"/>
      <c r="BJ195" s="141"/>
      <c r="BK195" s="136"/>
      <c r="BL195" s="136"/>
      <c r="BM195" s="54"/>
      <c r="BN195" s="54"/>
      <c r="BO195" s="54"/>
      <c r="BP195" s="54"/>
    </row>
    <row r="196" spans="51:68" x14ac:dyDescent="0.25">
      <c r="AY196" s="54"/>
      <c r="AZ196" s="54"/>
      <c r="BA196" s="54"/>
      <c r="BB196" s="54"/>
      <c r="BC196" s="54"/>
      <c r="BD196" s="54"/>
      <c r="BE196" s="54"/>
      <c r="BF196" s="54"/>
      <c r="BG196" s="54"/>
      <c r="BH196" s="54"/>
      <c r="BI196" s="54"/>
      <c r="BJ196" s="141"/>
      <c r="BK196" s="136"/>
      <c r="BL196" s="136"/>
      <c r="BM196" s="54"/>
      <c r="BN196" s="54"/>
      <c r="BO196" s="54"/>
      <c r="BP196" s="54"/>
    </row>
    <row r="197" spans="51:68" x14ac:dyDescent="0.25">
      <c r="AY197" s="54"/>
      <c r="AZ197" s="54"/>
      <c r="BA197" s="54"/>
      <c r="BB197" s="54"/>
      <c r="BC197" s="54"/>
      <c r="BD197" s="54"/>
      <c r="BE197" s="54"/>
      <c r="BF197" s="54"/>
      <c r="BG197" s="54"/>
      <c r="BH197" s="54"/>
      <c r="BI197" s="54"/>
      <c r="BJ197" s="141"/>
      <c r="BK197" s="136"/>
      <c r="BL197" s="136"/>
      <c r="BM197" s="54"/>
      <c r="BN197" s="54"/>
      <c r="BO197" s="54"/>
      <c r="BP197" s="54"/>
    </row>
    <row r="198" spans="51:68" x14ac:dyDescent="0.25">
      <c r="AY198" s="54"/>
      <c r="AZ198" s="54"/>
      <c r="BA198" s="54"/>
      <c r="BB198" s="54"/>
      <c r="BC198" s="54"/>
      <c r="BD198" s="54"/>
      <c r="BE198" s="54"/>
      <c r="BF198" s="54"/>
      <c r="BG198" s="54"/>
      <c r="BH198" s="54"/>
      <c r="BI198" s="54"/>
      <c r="BJ198" s="54"/>
      <c r="BK198" s="54"/>
      <c r="BL198" s="54"/>
      <c r="BM198" s="54"/>
      <c r="BN198" s="54"/>
      <c r="BO198" s="54"/>
      <c r="BP198" s="54"/>
    </row>
    <row r="199" spans="51:68" x14ac:dyDescent="0.25">
      <c r="AY199" s="54"/>
      <c r="AZ199" s="54"/>
      <c r="BA199" s="54"/>
      <c r="BB199" s="54"/>
      <c r="BC199" s="54"/>
      <c r="BD199" s="54"/>
      <c r="BE199" s="54"/>
      <c r="BF199" s="54"/>
      <c r="BG199" s="54"/>
      <c r="BH199" s="54"/>
      <c r="BI199" s="54"/>
      <c r="BJ199" s="54"/>
      <c r="BK199" s="54"/>
      <c r="BL199" s="54"/>
      <c r="BM199" s="54"/>
      <c r="BN199" s="54"/>
      <c r="BO199" s="54"/>
      <c r="BP199" s="54"/>
    </row>
    <row r="200" spans="51:68" x14ac:dyDescent="0.25">
      <c r="AY200" s="54"/>
      <c r="AZ200" s="54"/>
      <c r="BA200" s="54"/>
      <c r="BB200" s="54"/>
      <c r="BC200" s="54"/>
      <c r="BD200" s="54"/>
      <c r="BE200" s="54"/>
      <c r="BF200" s="54"/>
      <c r="BG200" s="54"/>
      <c r="BH200" s="54"/>
      <c r="BI200" s="54"/>
      <c r="BJ200" s="54"/>
      <c r="BK200" s="54"/>
      <c r="BL200" s="54"/>
      <c r="BM200" s="54"/>
      <c r="BN200" s="54"/>
      <c r="BO200" s="54"/>
      <c r="BP200" s="54"/>
    </row>
    <row r="201" spans="51:68" x14ac:dyDescent="0.25">
      <c r="AY201" s="54"/>
      <c r="AZ201" s="54"/>
      <c r="BA201" s="54"/>
      <c r="BB201" s="54"/>
      <c r="BC201" s="54"/>
      <c r="BD201" s="54"/>
      <c r="BE201" s="54"/>
      <c r="BF201" s="54"/>
      <c r="BG201" s="54"/>
      <c r="BH201" s="54"/>
      <c r="BI201" s="54"/>
      <c r="BJ201" s="54"/>
      <c r="BK201" s="54"/>
      <c r="BL201" s="54"/>
      <c r="BM201" s="54"/>
      <c r="BN201" s="54"/>
      <c r="BO201" s="54"/>
      <c r="BP201" s="54"/>
    </row>
    <row r="202" spans="51:68" x14ac:dyDescent="0.25">
      <c r="AY202" s="54"/>
      <c r="AZ202" s="54"/>
      <c r="BA202" s="54"/>
      <c r="BB202" s="54"/>
      <c r="BC202" s="54"/>
      <c r="BD202" s="54"/>
      <c r="BE202" s="54"/>
      <c r="BF202" s="54"/>
      <c r="BG202" s="54"/>
      <c r="BH202" s="54"/>
      <c r="BI202" s="54"/>
      <c r="BJ202" s="54"/>
      <c r="BK202" s="54"/>
      <c r="BL202" s="54"/>
      <c r="BM202" s="54"/>
      <c r="BN202" s="54"/>
      <c r="BO202" s="54"/>
      <c r="BP202" s="54"/>
    </row>
    <row r="203" spans="51:68" x14ac:dyDescent="0.25">
      <c r="AY203" s="54"/>
      <c r="AZ203" s="54"/>
      <c r="BA203" s="54"/>
      <c r="BB203" s="54"/>
      <c r="BC203" s="54"/>
      <c r="BD203" s="54"/>
      <c r="BE203" s="54"/>
      <c r="BF203" s="54"/>
      <c r="BG203" s="54"/>
      <c r="BH203" s="54"/>
      <c r="BI203" s="54"/>
      <c r="BJ203" s="54"/>
      <c r="BK203" s="54"/>
      <c r="BL203" s="54"/>
      <c r="BM203" s="54"/>
      <c r="BN203" s="54"/>
      <c r="BO203" s="54"/>
      <c r="BP203" s="54"/>
    </row>
    <row r="204" spans="51:68" x14ac:dyDescent="0.25">
      <c r="AY204" s="54"/>
      <c r="AZ204" s="54"/>
      <c r="BA204" s="54"/>
      <c r="BB204" s="54"/>
      <c r="BC204" s="54"/>
      <c r="BD204" s="54"/>
      <c r="BE204" s="54"/>
      <c r="BF204" s="54"/>
      <c r="BG204" s="54"/>
      <c r="BH204" s="54"/>
      <c r="BI204" s="54"/>
      <c r="BJ204" s="54"/>
      <c r="BK204" s="54"/>
      <c r="BL204" s="54"/>
      <c r="BM204" s="54"/>
      <c r="BN204" s="54"/>
      <c r="BO204" s="54"/>
      <c r="BP204" s="54"/>
    </row>
    <row r="205" spans="51:68" x14ac:dyDescent="0.25">
      <c r="AY205" s="54"/>
      <c r="AZ205" s="54"/>
      <c r="BA205" s="54"/>
      <c r="BB205" s="54"/>
      <c r="BC205" s="54"/>
      <c r="BD205" s="54"/>
      <c r="BE205" s="54"/>
      <c r="BF205" s="54"/>
      <c r="BG205" s="54"/>
      <c r="BH205" s="54"/>
      <c r="BI205" s="54"/>
      <c r="BJ205" s="54"/>
      <c r="BK205" s="54"/>
      <c r="BL205" s="54"/>
      <c r="BM205" s="54"/>
      <c r="BN205" s="54"/>
      <c r="BO205" s="54"/>
      <c r="BP205" s="54"/>
    </row>
    <row r="206" spans="51:68" x14ac:dyDescent="0.25">
      <c r="AY206" s="54"/>
      <c r="AZ206" s="54"/>
      <c r="BA206" s="54"/>
      <c r="BB206" s="54"/>
      <c r="BC206" s="54"/>
      <c r="BD206" s="54"/>
      <c r="BE206" s="54"/>
      <c r="BF206" s="54"/>
      <c r="BG206" s="54"/>
      <c r="BH206" s="54"/>
      <c r="BI206" s="54"/>
      <c r="BJ206" s="54"/>
      <c r="BK206" s="54"/>
      <c r="BL206" s="54"/>
      <c r="BM206" s="54"/>
      <c r="BN206" s="54"/>
      <c r="BO206" s="54"/>
      <c r="BP206" s="54"/>
    </row>
    <row r="207" spans="51:68" x14ac:dyDescent="0.25">
      <c r="AY207" s="54"/>
      <c r="AZ207" s="54"/>
      <c r="BA207" s="54"/>
      <c r="BB207" s="54"/>
      <c r="BC207" s="54"/>
      <c r="BD207" s="54"/>
      <c r="BE207" s="54"/>
      <c r="BF207" s="54"/>
      <c r="BG207" s="54"/>
      <c r="BH207" s="54"/>
      <c r="BI207" s="54"/>
      <c r="BJ207" s="54"/>
      <c r="BK207" s="54"/>
      <c r="BL207" s="54"/>
      <c r="BM207" s="54"/>
      <c r="BN207" s="54"/>
      <c r="BO207" s="54"/>
      <c r="BP207" s="54"/>
    </row>
    <row r="208" spans="51:68" x14ac:dyDescent="0.25">
      <c r="AY208" s="54"/>
      <c r="AZ208" s="54"/>
      <c r="BA208" s="54"/>
      <c r="BB208" s="54"/>
      <c r="BC208" s="54"/>
      <c r="BD208" s="54"/>
      <c r="BE208" s="54"/>
      <c r="BF208" s="54"/>
      <c r="BG208" s="54"/>
      <c r="BH208" s="54"/>
      <c r="BI208" s="54"/>
      <c r="BJ208" s="141"/>
      <c r="BK208" s="141"/>
      <c r="BL208" s="141"/>
      <c r="BM208" s="54"/>
      <c r="BN208" s="54"/>
      <c r="BO208" s="54"/>
      <c r="BP208" s="54"/>
    </row>
    <row r="209" spans="51:68" x14ac:dyDescent="0.25">
      <c r="AY209" s="54"/>
      <c r="AZ209" s="54"/>
      <c r="BA209" s="54"/>
      <c r="BB209" s="54"/>
      <c r="BC209" s="54"/>
      <c r="BD209" s="54"/>
      <c r="BE209" s="54"/>
      <c r="BF209" s="54"/>
      <c r="BG209" s="54"/>
      <c r="BH209" s="54"/>
      <c r="BI209" s="54"/>
      <c r="BJ209" s="141"/>
      <c r="BK209" s="136"/>
      <c r="BL209" s="136"/>
      <c r="BM209" s="54"/>
      <c r="BN209" s="54"/>
      <c r="BO209" s="54"/>
      <c r="BP209" s="54"/>
    </row>
    <row r="210" spans="51:68" x14ac:dyDescent="0.25">
      <c r="AY210" s="54"/>
      <c r="AZ210" s="54"/>
      <c r="BA210" s="54"/>
      <c r="BB210" s="54"/>
      <c r="BC210" s="54"/>
      <c r="BD210" s="54"/>
      <c r="BE210" s="54"/>
      <c r="BF210" s="54"/>
      <c r="BG210" s="54"/>
      <c r="BH210" s="54"/>
      <c r="BI210" s="54"/>
      <c r="BJ210" s="141"/>
      <c r="BK210" s="136"/>
      <c r="BL210" s="136"/>
      <c r="BM210" s="54"/>
      <c r="BN210" s="54"/>
      <c r="BO210" s="54"/>
      <c r="BP210" s="54"/>
    </row>
    <row r="211" spans="51:68" x14ac:dyDescent="0.25">
      <c r="AY211" s="54"/>
      <c r="AZ211" s="54"/>
      <c r="BA211" s="54"/>
      <c r="BB211" s="54"/>
      <c r="BC211" s="54"/>
      <c r="BD211" s="54"/>
      <c r="BE211" s="54"/>
      <c r="BF211" s="54"/>
      <c r="BG211" s="54"/>
      <c r="BH211" s="54"/>
      <c r="BI211" s="54"/>
      <c r="BJ211" s="141"/>
      <c r="BK211" s="136"/>
      <c r="BL211" s="136"/>
      <c r="BM211" s="54"/>
      <c r="BN211" s="54"/>
      <c r="BO211" s="54"/>
      <c r="BP211" s="54"/>
    </row>
    <row r="212" spans="51:68" x14ac:dyDescent="0.25">
      <c r="AY212" s="54"/>
      <c r="AZ212" s="54"/>
      <c r="BA212" s="54"/>
      <c r="BB212" s="54"/>
      <c r="BC212" s="54"/>
      <c r="BD212" s="54"/>
      <c r="BE212" s="54"/>
      <c r="BF212" s="54"/>
      <c r="BG212" s="54"/>
      <c r="BH212" s="54"/>
      <c r="BI212" s="54"/>
      <c r="BJ212" s="141"/>
      <c r="BK212" s="136"/>
      <c r="BL212" s="136"/>
      <c r="BM212" s="54"/>
      <c r="BN212" s="54"/>
      <c r="BO212" s="54"/>
      <c r="BP212" s="54"/>
    </row>
    <row r="213" spans="51:68" x14ac:dyDescent="0.25">
      <c r="AY213" s="54"/>
      <c r="AZ213" s="54"/>
      <c r="BA213" s="54"/>
      <c r="BB213" s="54"/>
      <c r="BC213" s="54"/>
      <c r="BD213" s="54"/>
      <c r="BE213" s="54"/>
      <c r="BF213" s="54"/>
      <c r="BG213" s="54"/>
      <c r="BH213" s="54"/>
      <c r="BI213" s="54"/>
      <c r="BJ213" s="141"/>
      <c r="BK213" s="136"/>
      <c r="BL213" s="136"/>
      <c r="BM213" s="54"/>
      <c r="BN213" s="54"/>
      <c r="BO213" s="54"/>
      <c r="BP213" s="54"/>
    </row>
    <row r="214" spans="51:68" x14ac:dyDescent="0.25">
      <c r="AY214" s="54"/>
      <c r="AZ214" s="54"/>
      <c r="BA214" s="54"/>
      <c r="BB214" s="54"/>
      <c r="BC214" s="54"/>
      <c r="BD214" s="54"/>
      <c r="BE214" s="54"/>
      <c r="BF214" s="54"/>
      <c r="BG214" s="54"/>
      <c r="BH214" s="54"/>
      <c r="BI214" s="54"/>
      <c r="BJ214" s="141"/>
      <c r="BK214" s="136"/>
      <c r="BL214" s="136"/>
      <c r="BM214" s="54"/>
      <c r="BN214" s="54"/>
      <c r="BO214" s="54"/>
      <c r="BP214" s="54"/>
    </row>
    <row r="215" spans="51:68" x14ac:dyDescent="0.25">
      <c r="AY215" s="54"/>
      <c r="AZ215" s="54"/>
      <c r="BA215" s="54"/>
      <c r="BB215" s="54"/>
      <c r="BC215" s="54"/>
      <c r="BD215" s="54"/>
      <c r="BE215" s="54"/>
      <c r="BF215" s="54"/>
      <c r="BG215" s="54"/>
      <c r="BH215" s="54"/>
      <c r="BI215" s="54"/>
      <c r="BJ215" s="54"/>
      <c r="BK215" s="54"/>
      <c r="BL215" s="54"/>
      <c r="BM215" s="54"/>
      <c r="BN215" s="54"/>
      <c r="BO215" s="54"/>
      <c r="BP215" s="54"/>
    </row>
    <row r="216" spans="51:68" x14ac:dyDescent="0.25">
      <c r="AY216" s="54"/>
      <c r="AZ216" s="54"/>
      <c r="BA216" s="54"/>
      <c r="BB216" s="54"/>
      <c r="BC216" s="54"/>
      <c r="BD216" s="54"/>
      <c r="BE216" s="54"/>
      <c r="BF216" s="54"/>
      <c r="BG216" s="54"/>
      <c r="BH216" s="54"/>
      <c r="BI216" s="54"/>
      <c r="BJ216" s="54"/>
      <c r="BK216" s="54"/>
      <c r="BL216" s="54"/>
      <c r="BM216" s="54"/>
      <c r="BN216" s="54"/>
      <c r="BO216" s="54"/>
      <c r="BP216" s="54"/>
    </row>
    <row r="217" spans="51:68" x14ac:dyDescent="0.25">
      <c r="AY217" s="54"/>
      <c r="AZ217" s="54"/>
      <c r="BA217" s="54"/>
      <c r="BB217" s="54"/>
      <c r="BC217" s="54"/>
      <c r="BD217" s="54"/>
      <c r="BE217" s="54"/>
      <c r="BF217" s="54"/>
      <c r="BG217" s="54"/>
      <c r="BH217" s="54"/>
      <c r="BI217" s="54"/>
      <c r="BJ217" s="54"/>
      <c r="BK217" s="54"/>
      <c r="BL217" s="54"/>
      <c r="BM217" s="54"/>
      <c r="BN217" s="54"/>
      <c r="BO217" s="54"/>
      <c r="BP217" s="54"/>
    </row>
    <row r="218" spans="51:68" x14ac:dyDescent="0.25">
      <c r="AY218" s="54"/>
      <c r="AZ218" s="54"/>
      <c r="BA218" s="54"/>
      <c r="BB218" s="54"/>
      <c r="BC218" s="54"/>
      <c r="BD218" s="54"/>
      <c r="BE218" s="54"/>
      <c r="BF218" s="54"/>
      <c r="BG218" s="54"/>
      <c r="BH218" s="54"/>
      <c r="BI218" s="54"/>
      <c r="BJ218" s="54"/>
      <c r="BK218" s="54"/>
      <c r="BL218" s="54"/>
      <c r="BM218" s="54"/>
      <c r="BN218" s="54"/>
      <c r="BO218" s="54"/>
      <c r="BP218" s="54"/>
    </row>
    <row r="219" spans="51:68" x14ac:dyDescent="0.25">
      <c r="AY219" s="54"/>
      <c r="AZ219" s="54"/>
      <c r="BA219" s="54"/>
      <c r="BB219" s="54"/>
      <c r="BC219" s="54"/>
      <c r="BD219" s="54"/>
      <c r="BE219" s="54"/>
      <c r="BF219" s="54"/>
      <c r="BG219" s="54"/>
      <c r="BH219" s="54"/>
      <c r="BI219" s="54"/>
      <c r="BJ219" s="54"/>
      <c r="BK219" s="54"/>
      <c r="BL219" s="54"/>
      <c r="BM219" s="54"/>
      <c r="BN219" s="54"/>
      <c r="BO219" s="54"/>
      <c r="BP219" s="54"/>
    </row>
    <row r="220" spans="51:68" x14ac:dyDescent="0.25">
      <c r="AY220" s="54"/>
      <c r="AZ220" s="54"/>
      <c r="BA220" s="54"/>
      <c r="BB220" s="54"/>
      <c r="BC220" s="54"/>
      <c r="BD220" s="54"/>
      <c r="BE220" s="54"/>
      <c r="BF220" s="54"/>
      <c r="BG220" s="54"/>
      <c r="BH220" s="54"/>
      <c r="BI220" s="54"/>
      <c r="BJ220" s="54"/>
      <c r="BK220" s="54"/>
      <c r="BL220" s="54"/>
      <c r="BM220" s="54"/>
      <c r="BN220" s="54"/>
      <c r="BO220" s="54"/>
      <c r="BP220" s="54"/>
    </row>
    <row r="221" spans="51:68" x14ac:dyDescent="0.25">
      <c r="AY221" s="54"/>
      <c r="AZ221" s="54"/>
      <c r="BA221" s="54"/>
      <c r="BB221" s="54"/>
      <c r="BC221" s="54"/>
      <c r="BD221" s="54"/>
      <c r="BE221" s="54"/>
      <c r="BF221" s="54"/>
      <c r="BG221" s="54"/>
      <c r="BH221" s="54"/>
      <c r="BI221" s="54"/>
      <c r="BJ221" s="54"/>
      <c r="BK221" s="54"/>
      <c r="BL221" s="54"/>
      <c r="BM221" s="54"/>
      <c r="BN221" s="54"/>
      <c r="BO221" s="54"/>
      <c r="BP221" s="54"/>
    </row>
    <row r="222" spans="51:68" x14ac:dyDescent="0.25">
      <c r="AY222" s="54"/>
      <c r="AZ222" s="54"/>
      <c r="BA222" s="54"/>
      <c r="BB222" s="54"/>
      <c r="BC222" s="54"/>
      <c r="BD222" s="54"/>
      <c r="BE222" s="54"/>
      <c r="BF222" s="54"/>
      <c r="BG222" s="54"/>
      <c r="BH222" s="54"/>
      <c r="BI222" s="54"/>
      <c r="BJ222" s="54"/>
      <c r="BK222" s="54"/>
      <c r="BL222" s="54"/>
      <c r="BM222" s="54"/>
      <c r="BN222" s="54"/>
      <c r="BO222" s="54"/>
      <c r="BP222" s="54"/>
    </row>
    <row r="223" spans="51:68" x14ac:dyDescent="0.25">
      <c r="AY223" s="54"/>
      <c r="AZ223" s="54"/>
      <c r="BA223" s="54"/>
      <c r="BB223" s="54"/>
      <c r="BC223" s="54"/>
      <c r="BD223" s="54"/>
      <c r="BE223" s="54"/>
      <c r="BF223" s="54"/>
      <c r="BG223" s="54"/>
      <c r="BH223" s="54"/>
      <c r="BI223" s="54"/>
      <c r="BJ223" s="54"/>
      <c r="BK223" s="54"/>
      <c r="BL223" s="54"/>
      <c r="BM223" s="54"/>
      <c r="BN223" s="54"/>
      <c r="BO223" s="54"/>
      <c r="BP223" s="54"/>
    </row>
    <row r="224" spans="51:68" x14ac:dyDescent="0.25">
      <c r="AY224" s="54"/>
      <c r="AZ224" s="54"/>
      <c r="BA224" s="54"/>
      <c r="BB224" s="54"/>
      <c r="BC224" s="54"/>
      <c r="BD224" s="54"/>
      <c r="BE224" s="54"/>
      <c r="BF224" s="54"/>
      <c r="BG224" s="54"/>
      <c r="BH224" s="54"/>
      <c r="BI224" s="54"/>
      <c r="BJ224" s="54"/>
      <c r="BK224" s="54"/>
      <c r="BL224" s="54"/>
      <c r="BM224" s="54"/>
      <c r="BN224" s="54"/>
      <c r="BO224" s="54"/>
      <c r="BP224" s="54"/>
    </row>
  </sheetData>
  <sheetProtection password="A926" sheet="1" formatCells="0" formatColumns="0" formatRows="0" insertColumns="0" insertRows="0" insertHyperlinks="0" deleteColumns="0" deleteRows="0" sort="0" autoFilter="0" pivotTables="0"/>
  <mergeCells count="29">
    <mergeCell ref="B65:B76"/>
    <mergeCell ref="AT65:AT76"/>
    <mergeCell ref="B29:B40"/>
    <mergeCell ref="AT29:AT40"/>
    <mergeCell ref="B41:B52"/>
    <mergeCell ref="AT41:AT52"/>
    <mergeCell ref="B53:B64"/>
    <mergeCell ref="AT53:AT64"/>
    <mergeCell ref="B17:B28"/>
    <mergeCell ref="AT17:AT28"/>
    <mergeCell ref="G3:G4"/>
    <mergeCell ref="H3:P3"/>
    <mergeCell ref="Q3:Q4"/>
    <mergeCell ref="R3:R4"/>
    <mergeCell ref="S3:S4"/>
    <mergeCell ref="AT3:AT4"/>
    <mergeCell ref="B5:B16"/>
    <mergeCell ref="AT5:AT16"/>
    <mergeCell ref="W1:AD2"/>
    <mergeCell ref="AH1:AP2"/>
    <mergeCell ref="AT1:BP2"/>
    <mergeCell ref="B3:B4"/>
    <mergeCell ref="C3:C4"/>
    <mergeCell ref="D3:D4"/>
    <mergeCell ref="E3:E4"/>
    <mergeCell ref="F3:F4"/>
    <mergeCell ref="AU3:AU4"/>
    <mergeCell ref="AV3:AV4"/>
    <mergeCell ref="AW3:AW4"/>
  </mergeCells>
  <pageMargins left="0.7" right="0.7" top="0.75" bottom="0.75" header="0.3" footer="0.3"/>
  <pageSetup paperSize="9" scale="67" orientation="portrait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C67"/>
  <sheetViews>
    <sheetView tabSelected="1" zoomScaleNormal="100" workbookViewId="0">
      <selection activeCell="E14" sqref="E14"/>
    </sheetView>
  </sheetViews>
  <sheetFormatPr defaultRowHeight="15" x14ac:dyDescent="0.25"/>
  <cols>
    <col min="1" max="10" width="9.140625" style="2"/>
    <col min="11" max="11" width="9.140625" style="59"/>
    <col min="12" max="21" width="9.140625" style="2"/>
    <col min="22" max="22" width="9.140625" style="59"/>
    <col min="23" max="32" width="9.140625" style="2"/>
    <col min="33" max="33" width="9.140625" style="59"/>
    <col min="34" max="43" width="9.140625" style="2"/>
    <col min="44" max="44" width="9.140625" style="59"/>
    <col min="45" max="54" width="9.140625" style="2"/>
    <col min="55" max="55" width="9.140625" style="59"/>
    <col min="56" max="16384" width="9.140625" style="2"/>
  </cols>
  <sheetData>
    <row r="1" spans="1:53" ht="15" customHeight="1" x14ac:dyDescent="0.25">
      <c r="M1" s="58" t="s">
        <v>61</v>
      </c>
      <c r="N1" s="58"/>
      <c r="O1" s="58"/>
      <c r="P1" s="58"/>
      <c r="Q1" s="58"/>
      <c r="R1" s="58"/>
      <c r="S1" s="58"/>
      <c r="T1" s="58"/>
      <c r="X1" s="58" t="s">
        <v>62</v>
      </c>
      <c r="Y1" s="58"/>
      <c r="Z1" s="58"/>
      <c r="AA1" s="58"/>
      <c r="AB1" s="58"/>
      <c r="AC1" s="58"/>
      <c r="AD1" s="58"/>
      <c r="AE1" s="58"/>
      <c r="AI1" s="58" t="s">
        <v>63</v>
      </c>
      <c r="AJ1" s="58"/>
      <c r="AK1" s="58"/>
      <c r="AL1" s="58"/>
      <c r="AM1" s="58"/>
      <c r="AN1" s="58"/>
      <c r="AO1" s="58"/>
      <c r="AP1" s="58"/>
      <c r="AT1" s="58" t="s">
        <v>64</v>
      </c>
      <c r="AU1" s="58"/>
      <c r="AV1" s="58"/>
      <c r="AW1" s="58"/>
      <c r="AX1" s="58"/>
      <c r="AY1" s="58"/>
      <c r="AZ1" s="58"/>
      <c r="BA1" s="58"/>
    </row>
    <row r="2" spans="1:53" ht="15" customHeight="1" x14ac:dyDescent="0.25">
      <c r="M2" s="58"/>
      <c r="N2" s="58"/>
      <c r="O2" s="58"/>
      <c r="P2" s="58"/>
      <c r="Q2" s="58"/>
      <c r="R2" s="58"/>
      <c r="S2" s="58"/>
      <c r="T2" s="58"/>
      <c r="X2" s="58"/>
      <c r="Y2" s="58"/>
      <c r="Z2" s="58"/>
      <c r="AA2" s="58"/>
      <c r="AB2" s="58"/>
      <c r="AC2" s="58"/>
      <c r="AD2" s="58"/>
      <c r="AE2" s="58"/>
      <c r="AI2" s="58"/>
      <c r="AJ2" s="58"/>
      <c r="AK2" s="58"/>
      <c r="AL2" s="58"/>
      <c r="AM2" s="58"/>
      <c r="AN2" s="58"/>
      <c r="AO2" s="58"/>
      <c r="AP2" s="58"/>
      <c r="AT2" s="58"/>
      <c r="AU2" s="58"/>
      <c r="AV2" s="58"/>
      <c r="AW2" s="58"/>
      <c r="AX2" s="58"/>
      <c r="AY2" s="58"/>
      <c r="AZ2" s="58"/>
      <c r="BA2" s="58"/>
    </row>
    <row r="4" spans="1:53" x14ac:dyDescent="0.25">
      <c r="B4" s="142" t="s">
        <v>65</v>
      </c>
      <c r="C4" s="142"/>
      <c r="D4" s="142"/>
      <c r="E4" s="142"/>
      <c r="F4" s="142"/>
      <c r="G4" s="142"/>
      <c r="H4" s="142"/>
      <c r="I4" s="142"/>
      <c r="K4" s="143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3"/>
      <c r="W4" s="144"/>
      <c r="X4" s="144"/>
      <c r="Y4" s="144"/>
      <c r="Z4" s="144"/>
      <c r="AA4" s="144"/>
      <c r="AB4" s="144"/>
      <c r="AC4" s="144"/>
      <c r="AD4" s="144"/>
      <c r="AF4" s="144"/>
      <c r="AG4" s="143"/>
    </row>
    <row r="5" spans="1:53" ht="15.75" thickBot="1" x14ac:dyDescent="0.3">
      <c r="B5" s="145" t="s">
        <v>66</v>
      </c>
      <c r="C5" s="145"/>
      <c r="D5" s="145"/>
      <c r="E5" s="145"/>
      <c r="F5" s="145"/>
      <c r="G5" s="145"/>
      <c r="H5" s="145"/>
      <c r="I5" s="145"/>
    </row>
    <row r="6" spans="1:53" x14ac:dyDescent="0.25">
      <c r="B6" s="146" t="s">
        <v>67</v>
      </c>
      <c r="C6" s="147"/>
      <c r="D6" s="147"/>
      <c r="E6" s="148"/>
      <c r="F6" s="146" t="s">
        <v>68</v>
      </c>
      <c r="G6" s="147"/>
      <c r="H6" s="147"/>
      <c r="I6" s="148"/>
      <c r="L6" s="54"/>
    </row>
    <row r="7" spans="1:53" ht="18" thickBot="1" x14ac:dyDescent="0.3">
      <c r="B7" s="149"/>
      <c r="C7" s="150" t="s">
        <v>4</v>
      </c>
      <c r="D7" s="151" t="s">
        <v>20</v>
      </c>
      <c r="E7" s="152" t="s">
        <v>21</v>
      </c>
      <c r="F7" s="153"/>
      <c r="G7" s="150" t="s">
        <v>4</v>
      </c>
      <c r="H7" s="154" t="s">
        <v>20</v>
      </c>
      <c r="I7" s="152" t="s">
        <v>21</v>
      </c>
      <c r="L7" s="54"/>
    </row>
    <row r="8" spans="1:53" ht="15" customHeight="1" x14ac:dyDescent="0.25">
      <c r="B8" s="155" t="s">
        <v>69</v>
      </c>
      <c r="C8" s="156" t="s">
        <v>24</v>
      </c>
      <c r="D8" s="157">
        <f>AVERAGE([6]Regressão_2!R5,[6]Regressão_2!R17,[6]Regressão_2!R29)</f>
        <v>0.36293816962380587</v>
      </c>
      <c r="E8" s="158">
        <f>AVERAGE([6]Regressão_2!S5,[6]Regressão_2!S17,[6]Regressão_2!S29)</f>
        <v>6.2840712501521487</v>
      </c>
      <c r="F8" s="159" t="s">
        <v>70</v>
      </c>
      <c r="G8" s="156" t="s">
        <v>24</v>
      </c>
      <c r="H8" s="157">
        <f>AVERAGE([6]Regressão_2!R41,[6]Regressão_2!R53,[6]Regressão_2!R65)</f>
        <v>0.34442805327796017</v>
      </c>
      <c r="I8" s="158">
        <f>AVERAGE([6]Regressão_2!S41,[6]Regressão_2!S53,[6]Regressão_2!S65)</f>
        <v>5.9364372277935615</v>
      </c>
      <c r="L8" s="54"/>
    </row>
    <row r="9" spans="1:53" ht="15.75" thickBot="1" x14ac:dyDescent="0.3">
      <c r="B9" s="160"/>
      <c r="C9" s="161" t="s">
        <v>26</v>
      </c>
      <c r="D9" s="162">
        <f>AVERAGE([6]Regressão_2!R6,[6]Regressão_2!R18,[6]Regressão_2!R30)</f>
        <v>0.37411295061558708</v>
      </c>
      <c r="E9" s="163">
        <f>AVERAGE([6]Regressão_2!S6,[6]Regressão_2!S18,[6]Regressão_2!S30)</f>
        <v>6.2382621614609048</v>
      </c>
      <c r="F9" s="164"/>
      <c r="G9" s="161" t="s">
        <v>26</v>
      </c>
      <c r="H9" s="162">
        <f>AVERAGE([6]Regressão_2!R42,[6]Regressão_2!R54,[6]Regressão_2!R66)</f>
        <v>0.34950388780984559</v>
      </c>
      <c r="I9" s="163">
        <f>AVERAGE([6]Regressão_2!S42,[6]Regressão_2!S54,[6]Regressão_2!S66)</f>
        <v>5.8153895276658005</v>
      </c>
      <c r="L9" s="54"/>
      <c r="W9" s="54"/>
    </row>
    <row r="10" spans="1:53" ht="15" customHeight="1" x14ac:dyDescent="0.25">
      <c r="A10" s="54"/>
      <c r="B10" s="165" t="s">
        <v>71</v>
      </c>
      <c r="C10" s="166" t="s">
        <v>28</v>
      </c>
      <c r="D10" s="157">
        <f>AVERAGE([6]Regressão_2!R7,[6]Regressão_2!R19)</f>
        <v>0.39624010902017842</v>
      </c>
      <c r="E10" s="158">
        <f>AVERAGE([6]Regressão_2!S7,[6]Regressão_2!S19)</f>
        <v>6.4322671418110833</v>
      </c>
      <c r="F10" s="159" t="s">
        <v>72</v>
      </c>
      <c r="G10" s="166" t="s">
        <v>28</v>
      </c>
      <c r="H10" s="157">
        <f>AVERAGE([6]Regressão_2!R31,[6]Regressão_2!R43,[6]Regressão_2!R55,[6]Regressão_2!R67)</f>
        <v>0.2847215534004916</v>
      </c>
      <c r="I10" s="158">
        <f>AVERAGE([6]Regressão_2!S31,[6]Regressão_2!S43,[6]Regressão_2!S55,[6]Regressão_2!S67)</f>
        <v>4.5989765757102843</v>
      </c>
      <c r="L10" s="54"/>
      <c r="W10" s="54"/>
    </row>
    <row r="11" spans="1:53" ht="15" customHeight="1" x14ac:dyDescent="0.25">
      <c r="A11" s="54"/>
      <c r="B11" s="167"/>
      <c r="C11" s="150" t="s">
        <v>30</v>
      </c>
      <c r="D11" s="168">
        <f>AVERAGE([6]Regressão_2!R8,[6]Regressão_2!R20)</f>
        <v>0.37496450146006077</v>
      </c>
      <c r="E11" s="169">
        <f>AVERAGE([6]Regressão_2!S8,[6]Regressão_2!S20)</f>
        <v>5.6493781336711297</v>
      </c>
      <c r="F11" s="170"/>
      <c r="G11" s="150" t="s">
        <v>30</v>
      </c>
      <c r="H11" s="168">
        <f>AVERAGE([6]Regressão_2!R32,[6]Regressão_2!R44,[6]Regressão_2!R56,[6]Regressão_2!R68)</f>
        <v>0.27916401785942579</v>
      </c>
      <c r="I11" s="169">
        <f>AVERAGE([6]Regressão_2!S32,[6]Regressão_2!S44,[6]Regressão_2!S56,[6]Regressão_2!S68)</f>
        <v>4.1251686904250979</v>
      </c>
      <c r="L11" s="54"/>
      <c r="W11" s="54"/>
    </row>
    <row r="12" spans="1:53" x14ac:dyDescent="0.25">
      <c r="A12" s="54"/>
      <c r="B12" s="167"/>
      <c r="C12" s="150" t="s">
        <v>32</v>
      </c>
      <c r="D12" s="168">
        <f>AVERAGE([6]Regressão_2!R9,[6]Regressão_2!R21)</f>
        <v>0.30256016982050787</v>
      </c>
      <c r="E12" s="169">
        <f>AVERAGE([6]Regressão_2!S9,[6]Regressão_2!S21)</f>
        <v>5.3264601045945597</v>
      </c>
      <c r="F12" s="170"/>
      <c r="G12" s="150" t="s">
        <v>32</v>
      </c>
      <c r="H12" s="168">
        <f>AVERAGE([6]Regressão_2!R33,[6]Regressão_2!R45,[6]Regressão_2!R57,[6]Regressão_2!R69)</f>
        <v>0.26933602043511878</v>
      </c>
      <c r="I12" s="169">
        <f>AVERAGE([6]Regressão_2!S33,[6]Regressão_2!S45,[6]Regressão_2!S57,[6]Regressão_2!S69)</f>
        <v>4.6672170771011965</v>
      </c>
      <c r="L12" s="54"/>
      <c r="W12" s="54"/>
    </row>
    <row r="13" spans="1:53" x14ac:dyDescent="0.25">
      <c r="A13" s="54"/>
      <c r="B13" s="167"/>
      <c r="C13" s="150" t="s">
        <v>34</v>
      </c>
      <c r="D13" s="168">
        <f>AVERAGE([6]Regressão_2!R10,[6]Regressão_2!R22)</f>
        <v>0.33087955948233416</v>
      </c>
      <c r="E13" s="169">
        <f>AVERAGE([6]Regressão_2!S10,[6]Regressão_2!S22)</f>
        <v>5.4343883557402091</v>
      </c>
      <c r="F13" s="170"/>
      <c r="G13" s="150" t="s">
        <v>34</v>
      </c>
      <c r="H13" s="168">
        <f>AVERAGE([6]Regressão_2!R34,[6]Regressão_2!R46,[6]Regressão_2!R58,[6]Regressão_2!R70)</f>
        <v>0.27591031904457386</v>
      </c>
      <c r="I13" s="169">
        <f>AVERAGE([6]Regressão_2!S34,[6]Regressão_2!S46,[6]Regressão_2!S58,[6]Regressão_2!S70)</f>
        <v>4.4109866978445291</v>
      </c>
      <c r="W13" s="54"/>
    </row>
    <row r="14" spans="1:53" x14ac:dyDescent="0.25">
      <c r="A14" s="54"/>
      <c r="B14" s="167"/>
      <c r="C14" s="150" t="s">
        <v>36</v>
      </c>
      <c r="D14" s="168">
        <f>AVERAGE([6]Regressão_2!R11,[6]Regressão_2!R23)</f>
        <v>0.3405534544584744</v>
      </c>
      <c r="E14" s="169">
        <f>AVERAGE([6]Regressão_2!S11,[6]Regressão_2!S23)</f>
        <v>5.6202374136814344</v>
      </c>
      <c r="F14" s="170"/>
      <c r="G14" s="150" t="s">
        <v>36</v>
      </c>
      <c r="H14" s="168">
        <f>AVERAGE([6]Regressão_2!R35,[6]Regressão_2!R47,[6]Regressão_2!R59,[6]Regressão_2!R71)</f>
        <v>0.25558616988001903</v>
      </c>
      <c r="I14" s="169">
        <f>AVERAGE([6]Regressão_2!S35,[6]Regressão_2!S47,[6]Regressão_2!S59,[6]Regressão_2!S71)</f>
        <v>4.008159964859999</v>
      </c>
      <c r="W14" s="54"/>
    </row>
    <row r="15" spans="1:53" x14ac:dyDescent="0.25">
      <c r="A15" s="54"/>
      <c r="B15" s="167"/>
      <c r="C15" s="150" t="s">
        <v>38</v>
      </c>
      <c r="D15" s="168">
        <f>AVERAGE([6]Regressão_2!R12,[6]Regressão_2!R24)</f>
        <v>0.31167124450486583</v>
      </c>
      <c r="E15" s="169">
        <f>AVERAGE([6]Regressão_2!S12,[6]Regressão_2!S24)</f>
        <v>3.7972192105655385</v>
      </c>
      <c r="F15" s="170"/>
      <c r="G15" s="150" t="s">
        <v>38</v>
      </c>
      <c r="H15" s="168">
        <f>AVERAGE([6]Regressão_2!R36,[6]Regressão_2!R48,[6]Regressão_2!R60,[6]Regressão_2!R72)</f>
        <v>0.25417222946514312</v>
      </c>
      <c r="I15" s="169">
        <f>AVERAGE([6]Regressão_2!S36,[6]Regressão_2!S48,[6]Regressão_2!S60,[6]Regressão_2!S72)</f>
        <v>3.0149560394073829</v>
      </c>
      <c r="W15" s="54"/>
    </row>
    <row r="16" spans="1:53" x14ac:dyDescent="0.25">
      <c r="B16" s="167"/>
      <c r="C16" s="150" t="s">
        <v>40</v>
      </c>
      <c r="D16" s="168">
        <f>AVERAGE([6]Regressão_2!R13,[6]Regressão_2!R25)</f>
        <v>0.35650951573402379</v>
      </c>
      <c r="E16" s="169">
        <f>AVERAGE([6]Regressão_2!S13,[6]Regressão_2!S25)</f>
        <v>5.4959391929022061</v>
      </c>
      <c r="F16" s="170"/>
      <c r="G16" s="150" t="s">
        <v>40</v>
      </c>
      <c r="H16" s="168">
        <f>AVERAGE([6]Regressão_2!R37,[6]Regressão_2!R49,[6]Regressão_2!R61,[6]Regressão_2!R73)</f>
        <v>0.27538551765177827</v>
      </c>
      <c r="I16" s="169">
        <f>AVERAGE([6]Regressão_2!S37,[6]Regressão_2!S49,[6]Regressão_2!S61,[6]Regressão_2!S73)</f>
        <v>4.1631566350676712</v>
      </c>
      <c r="W16" s="54"/>
    </row>
    <row r="17" spans="1:23" x14ac:dyDescent="0.25">
      <c r="B17" s="167"/>
      <c r="C17" s="150" t="s">
        <v>42</v>
      </c>
      <c r="D17" s="168">
        <f>AVERAGE([6]Regressão_2!R14,[6]Regressão_2!R26)</f>
        <v>0.28732050333502246</v>
      </c>
      <c r="E17" s="169">
        <f>AVERAGE([6]Regressão_2!S14,[6]Regressão_2!S26)</f>
        <v>4.941805135666459</v>
      </c>
      <c r="F17" s="170"/>
      <c r="G17" s="150" t="s">
        <v>42</v>
      </c>
      <c r="H17" s="168">
        <f>AVERAGE([6]Regressão_2!R38,[6]Regressão_2!R50,[6]Regressão_2!R62,[6]Regressão_2!R74)</f>
        <v>0.24898745476065356</v>
      </c>
      <c r="I17" s="169">
        <f>AVERAGE([6]Regressão_2!S38,[6]Regressão_2!S50,[6]Regressão_2!S62,[6]Regressão_2!S74)</f>
        <v>4.2252821221449235</v>
      </c>
      <c r="W17" s="54"/>
    </row>
    <row r="18" spans="1:23" ht="15" customHeight="1" x14ac:dyDescent="0.25">
      <c r="B18" s="167"/>
      <c r="C18" s="150" t="s">
        <v>44</v>
      </c>
      <c r="D18" s="168">
        <f>AVERAGE([6]Regressão_2!R15,[6]Regressão_2!R27)</f>
        <v>0.29290092121555295</v>
      </c>
      <c r="E18" s="169">
        <f>AVERAGE([6]Regressão_2!S15,[6]Regressão_2!S27)</f>
        <v>5.0341689079975014</v>
      </c>
      <c r="F18" s="170"/>
      <c r="G18" s="150" t="s">
        <v>44</v>
      </c>
      <c r="H18" s="168">
        <f>AVERAGE([6]Regressão_2!R39,[6]Regressão_2!R51,[6]Regressão_2!R63,[6]Regressão_2!R75)</f>
        <v>0.25528497108853387</v>
      </c>
      <c r="I18" s="169">
        <f>AVERAGE([6]Regressão_2!S39,[6]Regressão_2!S51,[6]Regressão_2!S63,[6]Regressão_2!S75)</f>
        <v>4.3667427475346337</v>
      </c>
      <c r="W18" s="54"/>
    </row>
    <row r="19" spans="1:23" ht="15.75" thickBot="1" x14ac:dyDescent="0.3">
      <c r="B19" s="171"/>
      <c r="C19" s="161" t="s">
        <v>46</v>
      </c>
      <c r="D19" s="162">
        <f>AVERAGE([6]Regressão_2!R16,[6]Regressão_2!R28)</f>
        <v>0.37760063874752353</v>
      </c>
      <c r="E19" s="163">
        <f>AVERAGE([6]Regressão_2!S16,[6]Regressão_2!S28)</f>
        <v>6.4070143388766976</v>
      </c>
      <c r="F19" s="172"/>
      <c r="G19" s="161" t="s">
        <v>46</v>
      </c>
      <c r="H19" s="162">
        <f>AVERAGE([6]Regressão_2!R40,[6]Regressão_2!R52,[6]Regressão_2!R64,[6]Regressão_2!R76)</f>
        <v>0.28751216475877434</v>
      </c>
      <c r="I19" s="163">
        <f>AVERAGE([6]Regressão_2!S40,[6]Regressão_2!S52,[6]Regressão_2!S64,[6]Regressão_2!S76)</f>
        <v>4.6369248992399807</v>
      </c>
      <c r="W19" s="54"/>
    </row>
    <row r="20" spans="1:23" x14ac:dyDescent="0.25">
      <c r="D20" s="54"/>
      <c r="W20" s="54"/>
    </row>
    <row r="21" spans="1:23" ht="15.75" thickBot="1" x14ac:dyDescent="0.3">
      <c r="B21" s="145" t="s">
        <v>73</v>
      </c>
      <c r="C21" s="145"/>
      <c r="D21" s="145"/>
      <c r="E21" s="145"/>
      <c r="F21" s="145"/>
      <c r="G21" s="145"/>
      <c r="H21" s="145"/>
      <c r="I21" s="145"/>
      <c r="W21" s="54"/>
    </row>
    <row r="22" spans="1:23" x14ac:dyDescent="0.25">
      <c r="B22" s="146" t="s">
        <v>67</v>
      </c>
      <c r="C22" s="147"/>
      <c r="D22" s="147"/>
      <c r="E22" s="148"/>
      <c r="F22" s="146" t="s">
        <v>68</v>
      </c>
      <c r="G22" s="147"/>
      <c r="H22" s="147"/>
      <c r="I22" s="148"/>
      <c r="W22" s="54"/>
    </row>
    <row r="23" spans="1:23" ht="18" thickBot="1" x14ac:dyDescent="0.3">
      <c r="B23" s="173"/>
      <c r="C23" s="150" t="s">
        <v>4</v>
      </c>
      <c r="D23" s="151" t="s">
        <v>20</v>
      </c>
      <c r="E23" s="152" t="s">
        <v>21</v>
      </c>
      <c r="F23" s="153"/>
      <c r="G23" s="150" t="s">
        <v>4</v>
      </c>
      <c r="H23" s="151" t="s">
        <v>20</v>
      </c>
      <c r="I23" s="152" t="s">
        <v>21</v>
      </c>
      <c r="W23" s="54"/>
    </row>
    <row r="24" spans="1:23" ht="15" customHeight="1" x14ac:dyDescent="0.25">
      <c r="B24" s="155" t="s">
        <v>69</v>
      </c>
      <c r="C24" s="156" t="s">
        <v>24</v>
      </c>
      <c r="D24" s="157">
        <f>AVERAGE([6]Regressão_2!L5,[6]Regressão_2!L17,[6]Regressão_2!L29)</f>
        <v>9.2921592328362765E-2</v>
      </c>
      <c r="E24" s="158">
        <f>AVERAGE([6]Regressão_2!M5,[6]Regressão_2!M17,[6]Regressão_2!M29)</f>
        <v>1.6060496932550095</v>
      </c>
      <c r="F24" s="159" t="s">
        <v>70</v>
      </c>
      <c r="G24" s="156" t="s">
        <v>24</v>
      </c>
      <c r="H24" s="157">
        <f>AVERAGE([6]Regressão_2!L41,[6]Regressão_2!L53,[6]Regressão_2!L65)</f>
        <v>8.0645866314320483E-2</v>
      </c>
      <c r="I24" s="158">
        <f>AVERAGE([6]Regressão_2!M41,[6]Regressão_2!M53,[6]Regressão_2!M65)</f>
        <v>1.3962272376674918</v>
      </c>
      <c r="W24" s="54"/>
    </row>
    <row r="25" spans="1:23" ht="15.75" thickBot="1" x14ac:dyDescent="0.3">
      <c r="A25" s="54"/>
      <c r="B25" s="160"/>
      <c r="C25" s="161" t="s">
        <v>26</v>
      </c>
      <c r="D25" s="162">
        <f>AVERAGE([6]Regressão_2!L6,[6]Regressão_2!L18,[6]Regressão_2!L30)</f>
        <v>0.1022409737342912</v>
      </c>
      <c r="E25" s="163">
        <f>AVERAGE([6]Regressão_2!M6,[6]Regressão_2!M18,[6]Regressão_2!M30)</f>
        <v>1.7070227466668968</v>
      </c>
      <c r="F25" s="164"/>
      <c r="G25" s="161" t="s">
        <v>26</v>
      </c>
      <c r="H25" s="162">
        <f>AVERAGE([6]Regressão_2!L42,[6]Regressão_2!L54,[6]Regressão_2!L66)</f>
        <v>7.2079296257563333E-2</v>
      </c>
      <c r="I25" s="163">
        <f>AVERAGE([6]Regressão_2!M42,[6]Regressão_2!M54,[6]Regressão_2!M66)</f>
        <v>1.1963284303032262</v>
      </c>
      <c r="L25" s="54"/>
      <c r="W25" s="54"/>
    </row>
    <row r="26" spans="1:23" x14ac:dyDescent="0.25">
      <c r="A26" s="54"/>
      <c r="B26" s="165" t="s">
        <v>71</v>
      </c>
      <c r="C26" s="166" t="s">
        <v>28</v>
      </c>
      <c r="D26" s="157">
        <f>AVERAGE([6]Regressão_2!L7,[6]Regressão_2!L19)</f>
        <v>0.13447860434823977</v>
      </c>
      <c r="E26" s="158">
        <f>AVERAGE([6]Regressão_2!M7,[6]Regressão_2!M19)</f>
        <v>2.1829808182152286</v>
      </c>
      <c r="F26" s="159" t="s">
        <v>72</v>
      </c>
      <c r="G26" s="166" t="s">
        <v>28</v>
      </c>
      <c r="H26" s="157">
        <f>AVERAGE([6]Regressão_2!L31,[6]Regressão_2!L43,[6]Regressão_2!L55,[6]Regressão_2!L67)</f>
        <v>8.142314364640095E-2</v>
      </c>
      <c r="I26" s="158">
        <f>AVERAGE([6]Regressão_2!M31,[6]Regressão_2!M43,[6]Regressão_2!M55,[6]Regressão_2!M67)</f>
        <v>1.3160410596945566</v>
      </c>
      <c r="L26" s="54"/>
      <c r="W26" s="54"/>
    </row>
    <row r="27" spans="1:23" x14ac:dyDescent="0.25">
      <c r="A27" s="54"/>
      <c r="B27" s="167"/>
      <c r="C27" s="150" t="s">
        <v>30</v>
      </c>
      <c r="D27" s="168">
        <f>AVERAGE([6]Regressão_2!L8,[6]Regressão_2!L20)</f>
        <v>0.14539308041256294</v>
      </c>
      <c r="E27" s="169">
        <f>AVERAGE([6]Regressão_2!M8,[6]Regressão_2!M20)</f>
        <v>2.1907172466705429</v>
      </c>
      <c r="F27" s="170"/>
      <c r="G27" s="150" t="s">
        <v>30</v>
      </c>
      <c r="H27" s="168">
        <f>AVERAGE([6]Regressão_2!L32,[6]Regressão_2!L44,[6]Regressão_2!L56,[6]Regressão_2!L68)</f>
        <v>9.8791867859227819E-2</v>
      </c>
      <c r="I27" s="169">
        <f>AVERAGE([6]Regressão_2!M32,[6]Regressão_2!M44,[6]Regressão_2!M56,[6]Regressão_2!M68)</f>
        <v>1.4569903162429614</v>
      </c>
      <c r="L27" s="54"/>
      <c r="W27" s="54"/>
    </row>
    <row r="28" spans="1:23" x14ac:dyDescent="0.25">
      <c r="A28" s="54"/>
      <c r="B28" s="167"/>
      <c r="C28" s="150" t="s">
        <v>32</v>
      </c>
      <c r="D28" s="168">
        <f>AVERAGE([6]Regressão_2!L9,[6]Regressão_2!L21)</f>
        <v>0.13014411607814774</v>
      </c>
      <c r="E28" s="169">
        <f>AVERAGE([6]Regressão_2!M9,[6]Regressão_2!M21)</f>
        <v>2.2911073628453069</v>
      </c>
      <c r="F28" s="170"/>
      <c r="G28" s="150" t="s">
        <v>32</v>
      </c>
      <c r="H28" s="168">
        <f>AVERAGE([6]Regressão_2!L33,[6]Regressão_2!L45,[6]Regressão_2!L57,[6]Regressão_2!L69)</f>
        <v>0.11480371332286572</v>
      </c>
      <c r="I28" s="169">
        <f>AVERAGE([6]Regressão_2!M33,[6]Regressão_2!M45,[6]Regressão_2!M57,[6]Regressão_2!M69)</f>
        <v>1.9904193865650526</v>
      </c>
      <c r="L28" s="54"/>
      <c r="W28" s="54"/>
    </row>
    <row r="29" spans="1:23" x14ac:dyDescent="0.25">
      <c r="A29" s="54"/>
      <c r="B29" s="167"/>
      <c r="C29" s="150" t="s">
        <v>34</v>
      </c>
      <c r="D29" s="168">
        <f>AVERAGE([6]Regressão_2!L10,[6]Regressão_2!L22)</f>
        <v>0.16997046084642622</v>
      </c>
      <c r="E29" s="169">
        <f>AVERAGE([6]Regressão_2!M10,[6]Regressão_2!M22)</f>
        <v>2.7915952848109793</v>
      </c>
      <c r="F29" s="170"/>
      <c r="G29" s="150" t="s">
        <v>34</v>
      </c>
      <c r="H29" s="168">
        <f>AVERAGE([6]Regressão_2!L34,[6]Regressão_2!L46,[6]Regressão_2!L58,[6]Regressão_2!L70)</f>
        <v>0.12497878516671881</v>
      </c>
      <c r="I29" s="169">
        <f>AVERAGE([6]Regressão_2!M34,[6]Regressão_2!M46,[6]Regressão_2!M58,[6]Regressão_2!M70)</f>
        <v>1.9993983968127047</v>
      </c>
      <c r="L29" s="54"/>
      <c r="W29" s="54"/>
    </row>
    <row r="30" spans="1:23" x14ac:dyDescent="0.25">
      <c r="A30" s="54"/>
      <c r="B30" s="167"/>
      <c r="C30" s="150" t="s">
        <v>36</v>
      </c>
      <c r="D30" s="168">
        <f>AVERAGE([6]Regressão_2!L11,[6]Regressão_2!L23)</f>
        <v>0.17867702006341951</v>
      </c>
      <c r="E30" s="169">
        <f>AVERAGE([6]Regressão_2!M11,[6]Regressão_2!M23)</f>
        <v>2.9489524761212453</v>
      </c>
      <c r="F30" s="170"/>
      <c r="G30" s="150" t="s">
        <v>36</v>
      </c>
      <c r="H30" s="168">
        <f>AVERAGE([6]Regressão_2!L35,[6]Regressão_2!L47,[6]Regressão_2!L59,[6]Regressão_2!L71)</f>
        <v>0.11479991630422928</v>
      </c>
      <c r="I30" s="169">
        <f>AVERAGE([6]Regressão_2!M35,[6]Regressão_2!M47,[6]Regressão_2!M59,[6]Regressão_2!M71)</f>
        <v>1.8004594032572245</v>
      </c>
      <c r="L30" s="54"/>
      <c r="W30" s="54"/>
    </row>
    <row r="31" spans="1:23" x14ac:dyDescent="0.25">
      <c r="B31" s="167"/>
      <c r="C31" s="150" t="s">
        <v>38</v>
      </c>
      <c r="D31" s="168">
        <f>AVERAGE([6]Regressão_2!L12,[6]Regressão_2!L24)</f>
        <v>0.14864132017566578</v>
      </c>
      <c r="E31" s="169">
        <f>AVERAGE([6]Regressão_2!M12,[6]Regressão_2!M24)</f>
        <v>1.812037075211121</v>
      </c>
      <c r="F31" s="170"/>
      <c r="G31" s="150" t="s">
        <v>38</v>
      </c>
      <c r="H31" s="168">
        <f>AVERAGE([6]Regressão_2!L36,[6]Regressão_2!L48,[6]Regressão_2!L60,[6]Regressão_2!L72)</f>
        <v>0.10522566431905786</v>
      </c>
      <c r="I31" s="169">
        <f>AVERAGE([6]Regressão_2!M36,[6]Regressão_2!M48,[6]Regressão_2!M60,[6]Regressão_2!M72)</f>
        <v>1.2439428986569623</v>
      </c>
      <c r="L31" s="54"/>
      <c r="W31" s="54"/>
    </row>
    <row r="32" spans="1:23" x14ac:dyDescent="0.25">
      <c r="B32" s="167"/>
      <c r="C32" s="150" t="s">
        <v>40</v>
      </c>
      <c r="D32" s="168">
        <f>AVERAGE([6]Regressão_2!L13,[6]Regressão_2!L25)</f>
        <v>0.16076789907754846</v>
      </c>
      <c r="E32" s="169">
        <f>AVERAGE([6]Regressão_2!M13,[6]Regressão_2!M25)</f>
        <v>2.4752581116025705</v>
      </c>
      <c r="F32" s="170"/>
      <c r="G32" s="150" t="s">
        <v>40</v>
      </c>
      <c r="H32" s="168">
        <f>AVERAGE([6]Regressão_2!L37,[6]Regressão_2!L49,[6]Regressão_2!L61,[6]Regressão_2!L73)</f>
        <v>0.12533228918340816</v>
      </c>
      <c r="I32" s="169">
        <f>AVERAGE([6]Regressão_2!M37,[6]Regressão_2!M49,[6]Regressão_2!M61,[6]Regressão_2!M73)</f>
        <v>1.8969564522231754</v>
      </c>
      <c r="W32" s="54"/>
    </row>
    <row r="33" spans="2:23" x14ac:dyDescent="0.25">
      <c r="B33" s="167"/>
      <c r="C33" s="150" t="s">
        <v>42</v>
      </c>
      <c r="D33" s="168">
        <f>AVERAGE([6]Regressão_2!L14,[6]Regressão_2!L26)</f>
        <v>0.13233654300086573</v>
      </c>
      <c r="E33" s="169">
        <f>AVERAGE([6]Regressão_2!M14,[6]Regressão_2!M26)</f>
        <v>2.2764459020931831</v>
      </c>
      <c r="F33" s="170"/>
      <c r="G33" s="150" t="s">
        <v>42</v>
      </c>
      <c r="H33" s="168">
        <f>AVERAGE([6]Regressão_2!L38,[6]Regressão_2!L50,[6]Regressão_2!L62,[6]Regressão_2!L74)</f>
        <v>0.11041333991186807</v>
      </c>
      <c r="I33" s="169">
        <f>AVERAGE([6]Regressão_2!M38,[6]Regressão_2!M50,[6]Regressão_2!M62,[6]Regressão_2!M74)</f>
        <v>1.8769668747124584</v>
      </c>
      <c r="W33" s="54"/>
    </row>
    <row r="34" spans="2:23" ht="15" customHeight="1" x14ac:dyDescent="0.25">
      <c r="B34" s="167"/>
      <c r="C34" s="150" t="s">
        <v>44</v>
      </c>
      <c r="D34" s="168">
        <f>AVERAGE([6]Regressão_2!L15,[6]Regressão_2!L27)</f>
        <v>0.1032157416998377</v>
      </c>
      <c r="E34" s="169">
        <f>AVERAGE([6]Regressão_2!M15,[6]Regressão_2!M27)</f>
        <v>1.7759445295379124</v>
      </c>
      <c r="F34" s="170"/>
      <c r="G34" s="150" t="s">
        <v>44</v>
      </c>
      <c r="H34" s="168">
        <f>AVERAGE([6]Regressão_2!L39,[6]Regressão_2!L51,[6]Regressão_2!L63,[6]Regressão_2!L75)</f>
        <v>8.5541482137698369E-2</v>
      </c>
      <c r="I34" s="169">
        <f>AVERAGE([6]Regressão_2!M39,[6]Regressão_2!M51,[6]Regressão_2!M63,[6]Regressão_2!M75)</f>
        <v>1.4599186248693936</v>
      </c>
      <c r="W34" s="54"/>
    </row>
    <row r="35" spans="2:23" ht="15.75" thickBot="1" x14ac:dyDescent="0.3">
      <c r="B35" s="171"/>
      <c r="C35" s="161" t="s">
        <v>46</v>
      </c>
      <c r="D35" s="162">
        <f>AVERAGE([6]Regressão_2!L16,[6]Regressão_2!L28)</f>
        <v>0.10331017919491274</v>
      </c>
      <c r="E35" s="163">
        <f>AVERAGE([6]Regressão_2!M16,[6]Regressão_2!M28)</f>
        <v>1.751085037384791</v>
      </c>
      <c r="F35" s="172"/>
      <c r="G35" s="161" t="s">
        <v>46</v>
      </c>
      <c r="H35" s="162">
        <f>AVERAGE([6]Regressão_2!L40,[6]Regressão_2!L52,[6]Regressão_2!L64,[6]Regressão_2!L76)</f>
        <v>6.7220608731867845E-2</v>
      </c>
      <c r="I35" s="163">
        <f>AVERAGE([6]Regressão_2!M40,[6]Regressão_2!M52,[6]Regressão_2!M64,[6]Regressão_2!M76)</f>
        <v>1.085389551814647</v>
      </c>
      <c r="W35" s="54"/>
    </row>
    <row r="36" spans="2:23" x14ac:dyDescent="0.25">
      <c r="W36" s="54"/>
    </row>
    <row r="37" spans="2:23" ht="15.75" customHeight="1" thickBot="1" x14ac:dyDescent="0.3">
      <c r="B37" s="145" t="s">
        <v>74</v>
      </c>
      <c r="C37" s="145"/>
      <c r="D37" s="145"/>
      <c r="E37" s="145"/>
      <c r="F37" s="145"/>
      <c r="G37" s="145"/>
      <c r="H37" s="145"/>
      <c r="I37" s="145"/>
      <c r="W37" s="54"/>
    </row>
    <row r="38" spans="2:23" x14ac:dyDescent="0.25">
      <c r="B38" s="146" t="s">
        <v>67</v>
      </c>
      <c r="C38" s="147"/>
      <c r="D38" s="147"/>
      <c r="E38" s="148"/>
      <c r="F38" s="146" t="s">
        <v>68</v>
      </c>
      <c r="G38" s="147"/>
      <c r="H38" s="147"/>
      <c r="I38" s="148"/>
      <c r="W38" s="54"/>
    </row>
    <row r="39" spans="2:23" ht="18" thickBot="1" x14ac:dyDescent="0.3">
      <c r="B39" s="173"/>
      <c r="C39" s="150" t="s">
        <v>4</v>
      </c>
      <c r="D39" s="151" t="s">
        <v>20</v>
      </c>
      <c r="E39" s="152" t="s">
        <v>21</v>
      </c>
      <c r="F39" s="153"/>
      <c r="G39" s="150" t="s">
        <v>4</v>
      </c>
      <c r="H39" s="151" t="s">
        <v>20</v>
      </c>
      <c r="I39" s="152" t="s">
        <v>21</v>
      </c>
      <c r="W39" s="54"/>
    </row>
    <row r="40" spans="2:23" ht="15" customHeight="1" x14ac:dyDescent="0.25">
      <c r="B40" s="155" t="s">
        <v>69</v>
      </c>
      <c r="C40" s="156" t="s">
        <v>24</v>
      </c>
      <c r="D40" s="157">
        <f>AVERAGE([6]Regressão_2!O5,[6]Regressão_2!O17,[6]Regressão_2!O29)</f>
        <v>0.12295919352046915</v>
      </c>
      <c r="E40" s="158">
        <f>AVERAGE([6]Regressão_2!P5,[6]Regressão_2!P17,[6]Regressão_2!P29)</f>
        <v>2.133177249739818</v>
      </c>
      <c r="F40" s="159" t="s">
        <v>70</v>
      </c>
      <c r="G40" s="156" t="s">
        <v>24</v>
      </c>
      <c r="H40" s="157">
        <f>AVERAGE([6]Regressão_2!O41,[6]Regressão_2!O53,[6]Regressão_2!O65)</f>
        <v>0.11815308602786201</v>
      </c>
      <c r="I40" s="158">
        <f>AVERAGE([6]Regressão_2!P41,[6]Regressão_2!P53,[6]Regressão_2!P65)</f>
        <v>2.0423146059234782</v>
      </c>
      <c r="W40" s="54"/>
    </row>
    <row r="41" spans="2:23" ht="15.75" customHeight="1" thickBot="1" x14ac:dyDescent="0.3">
      <c r="B41" s="160"/>
      <c r="C41" s="161" t="s">
        <v>26</v>
      </c>
      <c r="D41" s="162">
        <f>AVERAGE([6]Regressão_2!O6,[6]Regressão_2!O18,[6]Regressão_2!O30)</f>
        <v>0.12796991047956852</v>
      </c>
      <c r="E41" s="163">
        <f>AVERAGE([6]Regressão_2!P6,[6]Regressão_2!P18,[6]Regressão_2!P30)</f>
        <v>2.1296132467338076</v>
      </c>
      <c r="F41" s="164"/>
      <c r="G41" s="161" t="s">
        <v>26</v>
      </c>
      <c r="H41" s="162">
        <f>AVERAGE([6]Regressão_2!O42,[6]Regressão_2!O54,[6]Regressão_2!O66)</f>
        <v>0.11592834573386963</v>
      </c>
      <c r="I41" s="163">
        <f>AVERAGE([6]Regressão_2!P42,[6]Regressão_2!P54,[6]Regressão_2!P66)</f>
        <v>1.9427222021891193</v>
      </c>
      <c r="W41" s="54"/>
    </row>
    <row r="42" spans="2:23" ht="15" customHeight="1" x14ac:dyDescent="0.25">
      <c r="B42" s="165" t="s">
        <v>71</v>
      </c>
      <c r="C42" s="166" t="s">
        <v>28</v>
      </c>
      <c r="D42" s="157">
        <f>AVERAGE([6]Regressão_2!O7,[6]Regressão_2!O19)</f>
        <v>9.5320190282739997E-2</v>
      </c>
      <c r="E42" s="158">
        <f>AVERAGE([6]Regressão_2!P7,[6]Regressão_2!P19)</f>
        <v>1.5473852877146221</v>
      </c>
      <c r="F42" s="159" t="s">
        <v>72</v>
      </c>
      <c r="G42" s="166" t="s">
        <v>28</v>
      </c>
      <c r="H42" s="157">
        <f>AVERAGE([6]Regressão_2!O31,[6]Regressão_2!O43,[6]Regressão_2!O55,[6]Regressão_2!O67)</f>
        <v>4.5641657240153587E-2</v>
      </c>
      <c r="I42" s="158">
        <f>AVERAGE([6]Regressão_2!P31,[6]Regressão_2!P43,[6]Regressão_2!P55,[6]Regressão_2!P67)</f>
        <v>0.74371839305987764</v>
      </c>
      <c r="W42" s="54"/>
    </row>
    <row r="43" spans="2:23" x14ac:dyDescent="0.25">
      <c r="B43" s="167"/>
      <c r="C43" s="150" t="s">
        <v>30</v>
      </c>
      <c r="D43" s="168">
        <f>AVERAGE([6]Regressão_2!O8,[6]Regressão_2!O20)</f>
        <v>2.607754532470425E-2</v>
      </c>
      <c r="E43" s="169">
        <f>AVERAGE([6]Regressão_2!P8,[6]Regressão_2!P20)</f>
        <v>0.39361712879880528</v>
      </c>
      <c r="F43" s="170"/>
      <c r="G43" s="150" t="s">
        <v>30</v>
      </c>
      <c r="H43" s="168">
        <f>AVERAGE([6]Regressão_2!O32,[6]Regressão_2!O44,[6]Regressão_2!O56,[6]Regressão_2!O68)</f>
        <v>9.7810394801277865E-3</v>
      </c>
      <c r="I43" s="169">
        <f>AVERAGE([6]Regressão_2!P32,[6]Regressão_2!P44,[6]Regressão_2!P56,[6]Regressão_2!P68)</f>
        <v>0.1465585135761667</v>
      </c>
      <c r="L43" s="54"/>
      <c r="W43" s="54"/>
    </row>
    <row r="44" spans="2:23" x14ac:dyDescent="0.25">
      <c r="B44" s="167"/>
      <c r="C44" s="150" t="s">
        <v>32</v>
      </c>
      <c r="D44" s="168">
        <f>AVERAGE([6]Regressão_2!O9,[6]Regressão_2!O21)</f>
        <v>0</v>
      </c>
      <c r="E44" s="169">
        <f>AVERAGE([6]Regressão_2!P9,[6]Regressão_2!P21)</f>
        <v>0</v>
      </c>
      <c r="F44" s="170"/>
      <c r="G44" s="150" t="s">
        <v>32</v>
      </c>
      <c r="H44" s="168">
        <f>AVERAGE([6]Regressão_2!O33,[6]Regressão_2!O45,[6]Regressão_2!O57,[6]Regressão_2!O69)</f>
        <v>8.7331820253605833E-4</v>
      </c>
      <c r="I44" s="169">
        <f>AVERAGE([6]Regressão_2!P33,[6]Regressão_2!P45,[6]Regressão_2!P57,[6]Regressão_2!P69)</f>
        <v>1.4962771334661054E-2</v>
      </c>
      <c r="L44" s="54"/>
      <c r="W44" s="54"/>
    </row>
    <row r="45" spans="2:23" x14ac:dyDescent="0.25">
      <c r="B45" s="167"/>
      <c r="C45" s="150" t="s">
        <v>34</v>
      </c>
      <c r="D45" s="168">
        <f>AVERAGE([6]Regressão_2!O10,[6]Regressão_2!O22)</f>
        <v>0</v>
      </c>
      <c r="E45" s="169">
        <f>AVERAGE([6]Regressão_2!P10,[6]Regressão_2!P22)</f>
        <v>0</v>
      </c>
      <c r="F45" s="170"/>
      <c r="G45" s="150" t="s">
        <v>34</v>
      </c>
      <c r="H45" s="168">
        <f>AVERAGE([6]Regressão_2!O34,[6]Regressão_2!O46,[6]Regressão_2!O58,[6]Regressão_2!O70)</f>
        <v>0</v>
      </c>
      <c r="I45" s="169">
        <f>AVERAGE([6]Regressão_2!P34,[6]Regressão_2!P46,[6]Regressão_2!P58,[6]Regressão_2!P70)</f>
        <v>0</v>
      </c>
      <c r="L45" s="54"/>
      <c r="W45" s="54"/>
    </row>
    <row r="46" spans="2:23" x14ac:dyDescent="0.25">
      <c r="B46" s="167"/>
      <c r="C46" s="150" t="s">
        <v>36</v>
      </c>
      <c r="D46" s="168">
        <f>AVERAGE([6]Regressão_2!O11,[6]Regressão_2!O23)</f>
        <v>3.0108181102011507E-7</v>
      </c>
      <c r="E46" s="169">
        <f>AVERAGE([6]Regressão_2!P11,[6]Regressão_2!P23)</f>
        <v>4.9278405868810474E-6</v>
      </c>
      <c r="F46" s="170"/>
      <c r="G46" s="150" t="s">
        <v>36</v>
      </c>
      <c r="H46" s="168">
        <f>AVERAGE([6]Regressão_2!O35,[6]Regressão_2!O47,[6]Regressão_2!O59,[6]Regressão_2!O71)</f>
        <v>0</v>
      </c>
      <c r="I46" s="169">
        <f>AVERAGE([6]Regressão_2!P35,[6]Regressão_2!P47,[6]Regressão_2!P59,[6]Regressão_2!P71)</f>
        <v>0</v>
      </c>
      <c r="L46" s="54"/>
      <c r="W46" s="54"/>
    </row>
    <row r="47" spans="2:23" x14ac:dyDescent="0.25">
      <c r="B47" s="167"/>
      <c r="C47" s="150" t="s">
        <v>38</v>
      </c>
      <c r="D47" s="168">
        <f>AVERAGE([6]Regressão_2!O12,[6]Regressão_2!O24)</f>
        <v>0</v>
      </c>
      <c r="E47" s="169">
        <f>AVERAGE([6]Regressão_2!P12,[6]Regressão_2!P24)</f>
        <v>0</v>
      </c>
      <c r="F47" s="170"/>
      <c r="G47" s="150" t="s">
        <v>38</v>
      </c>
      <c r="H47" s="168">
        <f>AVERAGE([6]Regressão_2!O36,[6]Regressão_2!O48,[6]Regressão_2!O60,[6]Regressão_2!O72)</f>
        <v>0</v>
      </c>
      <c r="I47" s="169">
        <f>AVERAGE([6]Regressão_2!P36,[6]Regressão_2!P48,[6]Regressão_2!P60,[6]Regressão_2!P72)</f>
        <v>0</v>
      </c>
      <c r="L47" s="54"/>
      <c r="W47" s="54"/>
    </row>
    <row r="48" spans="2:23" x14ac:dyDescent="0.25">
      <c r="B48" s="167"/>
      <c r="C48" s="150" t="s">
        <v>40</v>
      </c>
      <c r="D48" s="168">
        <f>AVERAGE([6]Regressão_2!O13,[6]Regressão_2!O25)</f>
        <v>0</v>
      </c>
      <c r="E48" s="169">
        <f>AVERAGE([6]Regressão_2!P13,[6]Regressão_2!P25)</f>
        <v>0</v>
      </c>
      <c r="F48" s="170"/>
      <c r="G48" s="150" t="s">
        <v>40</v>
      </c>
      <c r="H48" s="168">
        <f>AVERAGE([6]Regressão_2!O37,[6]Regressão_2!O49,[6]Regressão_2!O61,[6]Regressão_2!O73)</f>
        <v>0</v>
      </c>
      <c r="I48" s="169">
        <f>AVERAGE([6]Regressão_2!P37,[6]Regressão_2!P49,[6]Regressão_2!P61,[6]Regressão_2!P73)</f>
        <v>0</v>
      </c>
      <c r="L48" s="54"/>
      <c r="W48" s="54"/>
    </row>
    <row r="49" spans="2:23" x14ac:dyDescent="0.25">
      <c r="B49" s="167"/>
      <c r="C49" s="150" t="s">
        <v>42</v>
      </c>
      <c r="D49" s="168">
        <f>AVERAGE([6]Regressão_2!O14,[6]Regressão_2!O26)</f>
        <v>0</v>
      </c>
      <c r="E49" s="169">
        <f>AVERAGE([6]Regressão_2!P14,[6]Regressão_2!P26)</f>
        <v>0</v>
      </c>
      <c r="F49" s="170"/>
      <c r="G49" s="150" t="s">
        <v>42</v>
      </c>
      <c r="H49" s="168">
        <f>AVERAGE([6]Regressão_2!O38,[6]Regressão_2!O50,[6]Regressão_2!O62,[6]Regressão_2!O74)</f>
        <v>8.0893605761945837E-4</v>
      </c>
      <c r="I49" s="169">
        <f>AVERAGE([6]Regressão_2!P38,[6]Regressão_2!P50,[6]Regressão_2!P62,[6]Regressão_2!P74)</f>
        <v>1.3388690668258506E-2</v>
      </c>
      <c r="L49" s="54"/>
      <c r="W49" s="54"/>
    </row>
    <row r="50" spans="2:23" x14ac:dyDescent="0.25">
      <c r="B50" s="167"/>
      <c r="C50" s="150" t="s">
        <v>44</v>
      </c>
      <c r="D50" s="168">
        <f>AVERAGE([6]Regressão_2!O15,[6]Regressão_2!O27)</f>
        <v>5.3782725079418489E-2</v>
      </c>
      <c r="E50" s="169">
        <f>AVERAGE([6]Regressão_2!P15,[6]Regressão_2!P27)</f>
        <v>0.92250727868823201</v>
      </c>
      <c r="F50" s="170"/>
      <c r="G50" s="150" t="s">
        <v>44</v>
      </c>
      <c r="H50" s="168">
        <f>AVERAGE([6]Regressão_2!O39,[6]Regressão_2!O51,[6]Regressão_2!O63,[6]Regressão_2!O75)</f>
        <v>4.3762630464912494E-2</v>
      </c>
      <c r="I50" s="169">
        <f>AVERAGE([6]Regressão_2!P39,[6]Regressão_2!P51,[6]Regressão_2!P63,[6]Regressão_2!P75)</f>
        <v>0.75179040859940671</v>
      </c>
      <c r="L50" s="54"/>
    </row>
    <row r="51" spans="2:23" ht="15.75" thickBot="1" x14ac:dyDescent="0.3">
      <c r="B51" s="171"/>
      <c r="C51" s="161" t="s">
        <v>46</v>
      </c>
      <c r="D51" s="162">
        <f>AVERAGE([6]Regressão_2!O16,[6]Regressão_2!O28)</f>
        <v>0.12384754787540148</v>
      </c>
      <c r="E51" s="163">
        <f>AVERAGE([6]Regressão_2!P16,[6]Regressão_2!P28)</f>
        <v>2.1027489261869219</v>
      </c>
      <c r="F51" s="172"/>
      <c r="G51" s="161" t="s">
        <v>46</v>
      </c>
      <c r="H51" s="162">
        <f>AVERAGE([6]Regressão_2!O40,[6]Regressão_2!O52,[6]Regressão_2!O64,[6]Regressão_2!O76)</f>
        <v>8.7207252059124621E-2</v>
      </c>
      <c r="I51" s="163">
        <f>AVERAGE([6]Regressão_2!P40,[6]Regressão_2!P52,[6]Regressão_2!P64,[6]Regressão_2!P76)</f>
        <v>1.4049425581343677</v>
      </c>
      <c r="L51" s="54"/>
    </row>
    <row r="53" spans="2:23" ht="15.75" thickBot="1" x14ac:dyDescent="0.3">
      <c r="B53" s="145" t="s">
        <v>75</v>
      </c>
      <c r="C53" s="145"/>
      <c r="D53" s="145"/>
      <c r="E53" s="145"/>
      <c r="F53" s="145"/>
      <c r="G53" s="145"/>
      <c r="H53" s="145"/>
      <c r="I53" s="145"/>
    </row>
    <row r="54" spans="2:23" x14ac:dyDescent="0.25">
      <c r="B54" s="146" t="s">
        <v>67</v>
      </c>
      <c r="C54" s="147"/>
      <c r="D54" s="147"/>
      <c r="E54" s="148"/>
      <c r="F54" s="146" t="s">
        <v>68</v>
      </c>
      <c r="G54" s="147"/>
      <c r="H54" s="147"/>
      <c r="I54" s="148"/>
    </row>
    <row r="55" spans="2:23" ht="18" thickBot="1" x14ac:dyDescent="0.3">
      <c r="B55" s="173"/>
      <c r="C55" s="150" t="s">
        <v>4</v>
      </c>
      <c r="D55" s="151" t="s">
        <v>20</v>
      </c>
      <c r="E55" s="152" t="s">
        <v>21</v>
      </c>
      <c r="F55" s="153"/>
      <c r="G55" s="150" t="s">
        <v>4</v>
      </c>
      <c r="H55" s="151" t="s">
        <v>20</v>
      </c>
      <c r="I55" s="152" t="s">
        <v>21</v>
      </c>
    </row>
    <row r="56" spans="2:23" x14ac:dyDescent="0.25">
      <c r="B56" s="155" t="s">
        <v>69</v>
      </c>
      <c r="C56" s="156" t="s">
        <v>24</v>
      </c>
      <c r="D56" s="157">
        <f>AVERAGE([6]Regressão_2!I5,[6]Regressão_2!I17,[6]Regressão_2!I29)</f>
        <v>0.1470573837749739</v>
      </c>
      <c r="E56" s="158">
        <f>AVERAGE([6]Regressão_2!J5,[6]Regressão_2!J17,[6]Regressão_2!J29)</f>
        <v>2.5448443071573212</v>
      </c>
      <c r="F56" s="159" t="s">
        <v>70</v>
      </c>
      <c r="G56" s="156" t="s">
        <v>24</v>
      </c>
      <c r="H56" s="157">
        <f>AVERAGE([6]Regressão_2!I41,[6]Regressão_2!I53,[6]Regressão_2!I65)</f>
        <v>0.14562910093577763</v>
      </c>
      <c r="I56" s="158">
        <f>AVERAGE([6]Regressão_2!J41,[6]Regressão_2!J53,[6]Regressão_2!J65)</f>
        <v>2.4978953842025908</v>
      </c>
    </row>
    <row r="57" spans="2:23" ht="15.75" thickBot="1" x14ac:dyDescent="0.3">
      <c r="B57" s="160"/>
      <c r="C57" s="161" t="s">
        <v>26</v>
      </c>
      <c r="D57" s="162">
        <f>AVERAGE([6]Regressão_2!I6,[6]Regressão_2!I18,[6]Regressão_2!I30)</f>
        <v>0.14390206640172731</v>
      </c>
      <c r="E57" s="163">
        <f>AVERAGE([6]Regressão_2!J6,[6]Regressão_2!J18,[6]Regressão_2!J30)</f>
        <v>2.4016261680602002</v>
      </c>
      <c r="F57" s="164"/>
      <c r="G57" s="161" t="s">
        <v>26</v>
      </c>
      <c r="H57" s="162">
        <f>AVERAGE([6]Regressão_2!I42,[6]Regressão_2!I54,[6]Regressão_2!I66)</f>
        <v>0.1614962458184126</v>
      </c>
      <c r="I57" s="163">
        <f>AVERAGE([6]Regressão_2!J42,[6]Regressão_2!J54,[6]Regressão_2!J66)</f>
        <v>2.6763388951734552</v>
      </c>
    </row>
    <row r="58" spans="2:23" x14ac:dyDescent="0.25">
      <c r="B58" s="165" t="s">
        <v>71</v>
      </c>
      <c r="C58" s="166" t="s">
        <v>28</v>
      </c>
      <c r="D58" s="157">
        <f>AVERAGE([6]Regressão_2!I7,[6]Regressão_2!I19)</f>
        <v>0.16644131438919868</v>
      </c>
      <c r="E58" s="158">
        <f>AVERAGE([6]Regressão_2!J7,[6]Regressão_2!J19)</f>
        <v>2.7019010358812325</v>
      </c>
      <c r="F58" s="159" t="s">
        <v>72</v>
      </c>
      <c r="G58" s="166" t="s">
        <v>28</v>
      </c>
      <c r="H58" s="157">
        <f>AVERAGE([6]Regressão_2!I31,[6]Regressão_2!I43,[6]Regressão_2!I55,[6]Regressão_2!I67)</f>
        <v>0.15765675251393707</v>
      </c>
      <c r="I58" s="158">
        <f>AVERAGE([6]Regressão_2!J31,[6]Regressão_2!J43,[6]Regressão_2!J55,[6]Regressão_2!J67)</f>
        <v>2.5392171229558498</v>
      </c>
    </row>
    <row r="59" spans="2:23" x14ac:dyDescent="0.25">
      <c r="B59" s="167"/>
      <c r="C59" s="150" t="s">
        <v>30</v>
      </c>
      <c r="D59" s="168">
        <f>AVERAGE([6]Regressão_2!I8,[6]Regressão_2!I20)</f>
        <v>0.20349387572279359</v>
      </c>
      <c r="E59" s="169">
        <f>AVERAGE([6]Regressão_2!J8,[6]Regressão_2!J20)</f>
        <v>3.0650437582017829</v>
      </c>
      <c r="F59" s="170"/>
      <c r="G59" s="150" t="s">
        <v>30</v>
      </c>
      <c r="H59" s="168">
        <f>AVERAGE([6]Regressão_2!I32,[6]Regressão_2!I44,[6]Regressão_2!I56,[6]Regressão_2!I68)</f>
        <v>0.1705911105200702</v>
      </c>
      <c r="I59" s="169">
        <f>AVERAGE([6]Regressão_2!J32,[6]Regressão_2!J44,[6]Regressão_2!J56,[6]Regressão_2!J68)</f>
        <v>2.5216198606059694</v>
      </c>
    </row>
    <row r="60" spans="2:23" x14ac:dyDescent="0.25">
      <c r="B60" s="167"/>
      <c r="C60" s="150" t="s">
        <v>32</v>
      </c>
      <c r="D60" s="168">
        <f>AVERAGE([6]Regressão_2!I9,[6]Regressão_2!I21)</f>
        <v>0.17241605374236013</v>
      </c>
      <c r="E60" s="169">
        <f>AVERAGE([6]Regressão_2!J9,[6]Regressão_2!J21)</f>
        <v>3.0353527417492523</v>
      </c>
      <c r="F60" s="170"/>
      <c r="G60" s="150" t="s">
        <v>32</v>
      </c>
      <c r="H60" s="168">
        <f>AVERAGE([6]Regressão_2!I33,[6]Regressão_2!I45,[6]Regressão_2!I57,[6]Regressão_2!I69)</f>
        <v>0.15365898890971702</v>
      </c>
      <c r="I60" s="169">
        <f>AVERAGE([6]Regressão_2!J33,[6]Regressão_2!J45,[6]Regressão_2!J57,[6]Regressão_2!J69)</f>
        <v>2.6618349192014832</v>
      </c>
    </row>
    <row r="61" spans="2:23" x14ac:dyDescent="0.25">
      <c r="B61" s="167"/>
      <c r="C61" s="150" t="s">
        <v>34</v>
      </c>
      <c r="D61" s="168">
        <f>AVERAGE([6]Regressão_2!I10,[6]Regressão_2!I22)</f>
        <v>0.16090909863590797</v>
      </c>
      <c r="E61" s="169">
        <f>AVERAGE([6]Regressão_2!J10,[6]Regressão_2!J22)</f>
        <v>2.6427930709292298</v>
      </c>
      <c r="F61" s="170"/>
      <c r="G61" s="150" t="s">
        <v>34</v>
      </c>
      <c r="H61" s="168">
        <f>AVERAGE([6]Regressão_2!I34,[6]Regressão_2!I46,[6]Regressão_2!I58,[6]Regressão_2!I70)</f>
        <v>0.15093153387785502</v>
      </c>
      <c r="I61" s="169">
        <f>AVERAGE([6]Regressão_2!J34,[6]Regressão_2!J46,[6]Regressão_2!J58,[6]Regressão_2!J70)</f>
        <v>2.4115883010318244</v>
      </c>
    </row>
    <row r="62" spans="2:23" x14ac:dyDescent="0.25">
      <c r="B62" s="167"/>
      <c r="C62" s="150" t="s">
        <v>36</v>
      </c>
      <c r="D62" s="168">
        <f>AVERAGE([6]Regressão_2!I11,[6]Regressão_2!I23)</f>
        <v>0.1618761333132438</v>
      </c>
      <c r="E62" s="169">
        <f>AVERAGE([6]Regressão_2!J11,[6]Regressão_2!J23)</f>
        <v>2.6712800097196023</v>
      </c>
      <c r="F62" s="170"/>
      <c r="G62" s="150" t="s">
        <v>36</v>
      </c>
      <c r="H62" s="168">
        <f>AVERAGE([6]Regressão_2!I35,[6]Regressão_2!I47,[6]Regressão_2!I59,[6]Regressão_2!I71)</f>
        <v>0.14078625357578975</v>
      </c>
      <c r="I62" s="169">
        <f>AVERAGE([6]Regressão_2!J35,[6]Regressão_2!J47,[6]Regressão_2!J59,[6]Regressão_2!J71)</f>
        <v>2.2077005616027749</v>
      </c>
    </row>
    <row r="63" spans="2:23" x14ac:dyDescent="0.25">
      <c r="B63" s="167"/>
      <c r="C63" s="150" t="s">
        <v>38</v>
      </c>
      <c r="D63" s="168">
        <f>AVERAGE([6]Regressão_2!I12,[6]Regressão_2!I24)</f>
        <v>0.1630299243292001</v>
      </c>
      <c r="E63" s="169">
        <f>AVERAGE([6]Regressão_2!J12,[6]Regressão_2!J24)</f>
        <v>1.9851821353544179</v>
      </c>
      <c r="F63" s="170"/>
      <c r="G63" s="150" t="s">
        <v>38</v>
      </c>
      <c r="H63" s="168">
        <f>AVERAGE([6]Regressão_2!I36,[6]Regressão_2!I48,[6]Regressão_2!I60,[6]Regressão_2!I72)</f>
        <v>0.14894656514608529</v>
      </c>
      <c r="I63" s="169">
        <f>AVERAGE([6]Regressão_2!J36,[6]Regressão_2!J48,[6]Regressão_2!J60,[6]Regressão_2!J72)</f>
        <v>1.7710131407504206</v>
      </c>
    </row>
    <row r="64" spans="2:23" x14ac:dyDescent="0.25">
      <c r="B64" s="167"/>
      <c r="C64" s="150" t="s">
        <v>40</v>
      </c>
      <c r="D64" s="168">
        <f>AVERAGE([6]Regressão_2!I13,[6]Regressão_2!I25)</f>
        <v>0.19574161665647527</v>
      </c>
      <c r="E64" s="169">
        <f>AVERAGE([6]Regressão_2!J13,[6]Regressão_2!J25)</f>
        <v>3.0206810812996361</v>
      </c>
      <c r="F64" s="170"/>
      <c r="G64" s="150" t="s">
        <v>40</v>
      </c>
      <c r="H64" s="168">
        <f>AVERAGE([6]Regressão_2!I37,[6]Regressão_2!I49,[6]Regressão_2!I61,[6]Regressão_2!I73)</f>
        <v>0.15005322846837013</v>
      </c>
      <c r="I64" s="169">
        <f>AVERAGE([6]Regressão_2!J37,[6]Regressão_2!J49,[6]Regressão_2!J61,[6]Regressão_2!J73)</f>
        <v>2.2662001828444964</v>
      </c>
    </row>
    <row r="65" spans="2:9" x14ac:dyDescent="0.25">
      <c r="B65" s="167"/>
      <c r="C65" s="150" t="s">
        <v>42</v>
      </c>
      <c r="D65" s="168">
        <f>AVERAGE([6]Regressão_2!I14,[6]Regressão_2!I26)</f>
        <v>0.15498396033415679</v>
      </c>
      <c r="E65" s="169">
        <f>AVERAGE([6]Regressão_2!J14,[6]Regressão_2!J26)</f>
        <v>2.6653592335732759</v>
      </c>
      <c r="F65" s="170"/>
      <c r="G65" s="150" t="s">
        <v>42</v>
      </c>
      <c r="H65" s="168">
        <f>AVERAGE([6]Regressão_2!I38,[6]Regressão_2!I50,[6]Regressão_2!I62,[6]Regressão_2!I74)</f>
        <v>0.13776517879116604</v>
      </c>
      <c r="I65" s="169">
        <f>AVERAGE([6]Regressão_2!J38,[6]Regressão_2!J50,[6]Regressão_2!J62,[6]Regressão_2!J74)</f>
        <v>2.3349265567642066</v>
      </c>
    </row>
    <row r="66" spans="2:9" x14ac:dyDescent="0.25">
      <c r="B66" s="167"/>
      <c r="C66" s="150" t="s">
        <v>44</v>
      </c>
      <c r="D66" s="168">
        <f>AVERAGE([6]Regressão_2!I15,[6]Regressão_2!I27)</f>
        <v>0.13590245443629678</v>
      </c>
      <c r="E66" s="169">
        <f>AVERAGE([6]Regressão_2!J15,[6]Regressão_2!J27)</f>
        <v>2.3357170997713572</v>
      </c>
      <c r="F66" s="170"/>
      <c r="G66" s="150" t="s">
        <v>44</v>
      </c>
      <c r="H66" s="168">
        <f>AVERAGE([6]Regressão_2!I39,[6]Regressão_2!I51,[6]Regressão_2!I63,[6]Regressão_2!I75)</f>
        <v>0.12598085848592303</v>
      </c>
      <c r="I66" s="169">
        <f>AVERAGE([6]Regressão_2!J39,[6]Regressão_2!J51,[6]Regressão_2!J63,[6]Regressão_2!J75)</f>
        <v>2.155033714065834</v>
      </c>
    </row>
    <row r="67" spans="2:9" ht="15.75" thickBot="1" x14ac:dyDescent="0.3">
      <c r="B67" s="171"/>
      <c r="C67" s="161" t="s">
        <v>46</v>
      </c>
      <c r="D67" s="162">
        <f>AVERAGE([6]Regressão_2!I16,[6]Regressão_2!I28)</f>
        <v>0.1504429116772093</v>
      </c>
      <c r="E67" s="163">
        <f>AVERAGE([6]Regressão_2!J16,[6]Regressão_2!J28)</f>
        <v>2.5531803753049838</v>
      </c>
      <c r="F67" s="172"/>
      <c r="G67" s="161" t="s">
        <v>46</v>
      </c>
      <c r="H67" s="162">
        <f>AVERAGE([6]Regressão_2!I40,[6]Regressão_2!I52,[6]Regressão_2!I64,[6]Regressão_2!I76)</f>
        <v>0.13308430396778187</v>
      </c>
      <c r="I67" s="163">
        <f>AVERAGE([6]Regressão_2!J40,[6]Regressão_2!J52,[6]Regressão_2!J64,[6]Regressão_2!J76)</f>
        <v>2.1465927892909664</v>
      </c>
    </row>
  </sheetData>
  <sheetProtection password="A926" sheet="1" formatCells="0" formatColumns="0" formatRows="0" insertColumns="0" insertRows="0" insertHyperlinks="0" deleteColumns="0" deleteRows="0" sort="0" autoFilter="0" pivotTables="0"/>
  <mergeCells count="33">
    <mergeCell ref="B56:B57"/>
    <mergeCell ref="F56:F57"/>
    <mergeCell ref="B58:B67"/>
    <mergeCell ref="F58:F67"/>
    <mergeCell ref="B40:B41"/>
    <mergeCell ref="F40:F41"/>
    <mergeCell ref="B42:B51"/>
    <mergeCell ref="F42:F51"/>
    <mergeCell ref="B53:I53"/>
    <mergeCell ref="B54:E54"/>
    <mergeCell ref="F54:I54"/>
    <mergeCell ref="B38:E38"/>
    <mergeCell ref="F38:I38"/>
    <mergeCell ref="B8:B9"/>
    <mergeCell ref="F8:F9"/>
    <mergeCell ref="B10:B19"/>
    <mergeCell ref="F10:F19"/>
    <mergeCell ref="B21:I21"/>
    <mergeCell ref="B22:E22"/>
    <mergeCell ref="F22:I22"/>
    <mergeCell ref="B24:B25"/>
    <mergeCell ref="F24:F25"/>
    <mergeCell ref="B26:B35"/>
    <mergeCell ref="F26:F35"/>
    <mergeCell ref="B37:I37"/>
    <mergeCell ref="AT1:BA2"/>
    <mergeCell ref="B4:I4"/>
    <mergeCell ref="B5:I5"/>
    <mergeCell ref="B6:E6"/>
    <mergeCell ref="F6:I6"/>
    <mergeCell ref="M1:T2"/>
    <mergeCell ref="X1:AE2"/>
    <mergeCell ref="AI1:AP2"/>
  </mergeCells>
  <pageMargins left="0.7" right="0.7" top="0.75" bottom="0.75" header="0.3" footer="0.3"/>
  <pageSetup paperSize="9" scale="92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35"/>
  <sheetViews>
    <sheetView zoomScaleNormal="100" workbookViewId="0">
      <selection activeCell="E14" sqref="E14"/>
    </sheetView>
  </sheetViews>
  <sheetFormatPr defaultRowHeight="15" x14ac:dyDescent="0.25"/>
  <cols>
    <col min="1" max="10" width="9.140625" style="2"/>
    <col min="11" max="11" width="9.140625" style="59"/>
    <col min="12" max="21" width="9.140625" style="2"/>
    <col min="22" max="22" width="9.140625" style="59"/>
    <col min="23" max="32" width="9.140625" style="2"/>
    <col min="33" max="33" width="9.140625" style="59"/>
    <col min="34" max="16384" width="9.140625" style="2"/>
  </cols>
  <sheetData>
    <row r="1" spans="2:33" ht="15" customHeight="1" x14ac:dyDescent="0.25">
      <c r="M1" s="58" t="s">
        <v>61</v>
      </c>
      <c r="N1" s="58"/>
      <c r="O1" s="58"/>
      <c r="P1" s="58"/>
      <c r="Q1" s="58"/>
      <c r="R1" s="58"/>
      <c r="S1" s="58"/>
      <c r="T1" s="58"/>
      <c r="X1" s="58" t="s">
        <v>62</v>
      </c>
      <c r="Y1" s="58"/>
      <c r="Z1" s="58"/>
      <c r="AA1" s="58"/>
      <c r="AB1" s="58"/>
      <c r="AC1" s="58"/>
      <c r="AD1" s="58"/>
      <c r="AE1" s="58"/>
    </row>
    <row r="2" spans="2:33" ht="15" customHeight="1" x14ac:dyDescent="0.25">
      <c r="M2" s="58"/>
      <c r="N2" s="58"/>
      <c r="O2" s="58"/>
      <c r="P2" s="58"/>
      <c r="Q2" s="58"/>
      <c r="R2" s="58"/>
      <c r="S2" s="58"/>
      <c r="T2" s="58"/>
      <c r="X2" s="58"/>
      <c r="Y2" s="58"/>
      <c r="Z2" s="58"/>
      <c r="AA2" s="58"/>
      <c r="AB2" s="58"/>
      <c r="AC2" s="58"/>
      <c r="AD2" s="58"/>
      <c r="AE2" s="58"/>
    </row>
    <row r="4" spans="2:33" x14ac:dyDescent="0.25">
      <c r="B4" s="142" t="s">
        <v>76</v>
      </c>
      <c r="C4" s="142"/>
      <c r="D4" s="142"/>
      <c r="E4" s="142"/>
      <c r="F4" s="142"/>
      <c r="G4" s="142"/>
      <c r="H4" s="142"/>
      <c r="I4" s="142"/>
      <c r="K4" s="143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3"/>
      <c r="W4" s="144"/>
      <c r="X4" s="144"/>
      <c r="Y4" s="144"/>
      <c r="Z4" s="144"/>
      <c r="AA4" s="144"/>
      <c r="AB4" s="144"/>
      <c r="AC4" s="144"/>
      <c r="AD4" s="144"/>
      <c r="AF4" s="144"/>
      <c r="AG4" s="143"/>
    </row>
    <row r="5" spans="2:33" ht="15.75" thickBot="1" x14ac:dyDescent="0.3">
      <c r="B5" s="145" t="s">
        <v>66</v>
      </c>
      <c r="C5" s="145"/>
      <c r="D5" s="145"/>
      <c r="E5" s="145"/>
      <c r="F5" s="145"/>
      <c r="G5" s="145"/>
      <c r="H5" s="145"/>
      <c r="I5" s="145"/>
    </row>
    <row r="6" spans="2:33" x14ac:dyDescent="0.25">
      <c r="B6" s="146" t="s">
        <v>67</v>
      </c>
      <c r="C6" s="147"/>
      <c r="D6" s="147"/>
      <c r="E6" s="148"/>
      <c r="F6" s="146" t="s">
        <v>68</v>
      </c>
      <c r="G6" s="147"/>
      <c r="H6" s="147"/>
      <c r="I6" s="148"/>
    </row>
    <row r="7" spans="2:33" ht="18" thickBot="1" x14ac:dyDescent="0.3">
      <c r="B7" s="149"/>
      <c r="C7" s="150" t="s">
        <v>4</v>
      </c>
      <c r="D7" s="154" t="s">
        <v>20</v>
      </c>
      <c r="E7" s="174" t="s">
        <v>21</v>
      </c>
      <c r="F7" s="153"/>
      <c r="G7" s="150" t="s">
        <v>4</v>
      </c>
      <c r="H7" s="154" t="s">
        <v>20</v>
      </c>
      <c r="I7" s="174" t="s">
        <v>21</v>
      </c>
    </row>
    <row r="8" spans="2:33" ht="15" customHeight="1" x14ac:dyDescent="0.25">
      <c r="B8" s="155" t="s">
        <v>77</v>
      </c>
      <c r="C8" s="156" t="s">
        <v>24</v>
      </c>
      <c r="D8" s="157">
        <f>AVERAGE([6]Regressão_2!R5,[6]Regressão_2!R17,[6]Regressão_2!R29,[6]Regressão_2!R41,[6]Regressão_2!R53)</f>
        <v>0.37220886735751918</v>
      </c>
      <c r="E8" s="158">
        <f>AVERAGE([6]Regressão_2!S5,[6]Regressão_2!S17,[6]Regressão_2!S29,[6]Regressão_2!S41,[6]Regressão_2!S53)</f>
        <v>6.4732521167152184</v>
      </c>
      <c r="F8" s="175">
        <v>12</v>
      </c>
      <c r="G8" s="156" t="s">
        <v>24</v>
      </c>
      <c r="H8" s="157">
        <f>AVERAGE([6]Regressão_2!R65)</f>
        <v>0.26105433191770205</v>
      </c>
      <c r="I8" s="158">
        <f>AVERAGE([6]Regressão_2!S65)</f>
        <v>4.2952648502610344</v>
      </c>
    </row>
    <row r="9" spans="2:33" x14ac:dyDescent="0.25">
      <c r="B9" s="176"/>
      <c r="C9" s="150" t="s">
        <v>26</v>
      </c>
      <c r="D9" s="168">
        <f>AVERAGE([6]Regressão_2!R6,[6]Regressão_2!R18,[6]Regressão_2!R30,[6]Regressão_2!R42,[6]Regressão_2!R54)</f>
        <v>0.36227237358224701</v>
      </c>
      <c r="E9" s="169">
        <f>AVERAGE([6]Regressão_2!S6,[6]Regressão_2!S18,[6]Regressão_2!S30,[6]Regressão_2!S42,[6]Regressão_2!S54)</f>
        <v>5.9977011920819976</v>
      </c>
      <c r="F9" s="177"/>
      <c r="G9" s="150" t="s">
        <v>26</v>
      </c>
      <c r="H9" s="168">
        <f>AVERAGE([6]Regressão_2!R66)</f>
        <v>0.35948864736506292</v>
      </c>
      <c r="I9" s="169">
        <f>AVERAGE([6]Regressão_2!S66)</f>
        <v>6.1724491069701264</v>
      </c>
    </row>
    <row r="10" spans="2:33" x14ac:dyDescent="0.25">
      <c r="B10" s="176"/>
      <c r="C10" s="150" t="s">
        <v>28</v>
      </c>
      <c r="D10" s="168">
        <f>AVERAGE([6]Regressão_2!R7,[6]Regressão_2!R19,[6]Regressão_2!R31,[6]Regressão_2!R43,[6]Regressão_2!R55)</f>
        <v>0.34161143593148457</v>
      </c>
      <c r="E10" s="169">
        <f>AVERAGE([6]Regressão_2!S7,[6]Regressão_2!S19,[6]Regressão_2!S31,[6]Regressão_2!S43,[6]Regressão_2!S55)</f>
        <v>5.543357545364179</v>
      </c>
      <c r="F10" s="177"/>
      <c r="G10" s="150" t="s">
        <v>28</v>
      </c>
      <c r="H10" s="168">
        <f>AVERAGE([6]Regressão_2!R67)</f>
        <v>0.22330925198490056</v>
      </c>
      <c r="I10" s="169">
        <f>AVERAGE([6]Regressão_2!S67)</f>
        <v>3.5436528596424055</v>
      </c>
    </row>
    <row r="11" spans="2:33" x14ac:dyDescent="0.25">
      <c r="B11" s="176"/>
      <c r="C11" s="150" t="s">
        <v>30</v>
      </c>
      <c r="D11" s="168">
        <f>AVERAGE([6]Regressão_2!R8,[6]Regressão_2!R20,[6]Regressão_2!R32,[6]Regressão_2!R44,[6]Regressão_2!R56)</f>
        <v>0.31741187290289741</v>
      </c>
      <c r="E11" s="169">
        <f>AVERAGE([6]Regressão_2!S8,[6]Regressão_2!S20,[6]Regressão_2!S32,[6]Regressão_2!S44,[6]Regressão_2!S56)</f>
        <v>4.7151703029847791</v>
      </c>
      <c r="F11" s="177"/>
      <c r="G11" s="150" t="s">
        <v>30</v>
      </c>
      <c r="H11" s="168">
        <f>AVERAGE([6]Regressão_2!R68)</f>
        <v>0.27952570984333758</v>
      </c>
      <c r="I11" s="169">
        <f>AVERAGE([6]Regressão_2!S68)</f>
        <v>4.2235795141187538</v>
      </c>
    </row>
    <row r="12" spans="2:33" x14ac:dyDescent="0.25">
      <c r="B12" s="176"/>
      <c r="C12" s="150" t="s">
        <v>32</v>
      </c>
      <c r="D12" s="168">
        <f>AVERAGE([6]Regressão_2!R9,[6]Regressão_2!R21,[6]Regressão_2!R33,[6]Regressão_2!R45,[6]Regressão_2!R57)</f>
        <v>0.28975025023176409</v>
      </c>
      <c r="E12" s="169">
        <f>AVERAGE([6]Regressão_2!S9,[6]Regressão_2!S21,[6]Regressão_2!S33,[6]Regressão_2!S45,[6]Regressão_2!S57)</f>
        <v>5.0635048840572185</v>
      </c>
      <c r="F12" s="177"/>
      <c r="G12" s="150" t="s">
        <v>32</v>
      </c>
      <c r="H12" s="168">
        <f>AVERAGE([6]Regressão_2!R69)</f>
        <v>0.23371317022267041</v>
      </c>
      <c r="I12" s="169">
        <f>AVERAGE([6]Regressão_2!S69)</f>
        <v>4.0042640973078134</v>
      </c>
    </row>
    <row r="13" spans="2:33" x14ac:dyDescent="0.25">
      <c r="B13" s="176"/>
      <c r="C13" s="150" t="s">
        <v>34</v>
      </c>
      <c r="D13" s="168">
        <f>AVERAGE([6]Regressão_2!R10,[6]Regressão_2!R22,[6]Regressão_2!R34,[6]Regressão_2!R46,[6]Regressão_2!R58)</f>
        <v>0.30454207016719537</v>
      </c>
      <c r="E13" s="169">
        <f>AVERAGE([6]Regressão_2!S10,[6]Regressão_2!S22,[6]Regressão_2!S34,[6]Regressão_2!S46,[6]Regressão_2!S58)</f>
        <v>4.9321755378245893</v>
      </c>
      <c r="F13" s="177"/>
      <c r="G13" s="150" t="s">
        <v>34</v>
      </c>
      <c r="H13" s="168">
        <f>AVERAGE([6]Regressão_2!R70)</f>
        <v>0.24269004430698704</v>
      </c>
      <c r="I13" s="169">
        <f>AVERAGE([6]Regressão_2!S70)</f>
        <v>3.8518458137355895</v>
      </c>
    </row>
    <row r="14" spans="2:33" x14ac:dyDescent="0.25">
      <c r="B14" s="176"/>
      <c r="C14" s="150" t="s">
        <v>36</v>
      </c>
      <c r="D14" s="168">
        <f>AVERAGE([6]Regressão_2!R11,[6]Regressão_2!R23,[6]Regressão_2!R35,[6]Regressão_2!R47,[6]Regressão_2!R59)</f>
        <v>0.2963862831196728</v>
      </c>
      <c r="E14" s="169">
        <f>AVERAGE([6]Regressão_2!S11,[6]Regressão_2!S23,[6]Regressão_2!S35,[6]Regressão_2!S47,[6]Regressão_2!S59)</f>
        <v>4.767133082457109</v>
      </c>
      <c r="F14" s="177"/>
      <c r="G14" s="150" t="s">
        <v>36</v>
      </c>
      <c r="H14" s="168">
        <f>AVERAGE([6]Regressão_2!R71)</f>
        <v>0.22152017283866096</v>
      </c>
      <c r="I14" s="169">
        <f>AVERAGE([6]Regressão_2!S71)</f>
        <v>3.4374492745173262</v>
      </c>
    </row>
    <row r="15" spans="2:33" x14ac:dyDescent="0.25">
      <c r="B15" s="176"/>
      <c r="C15" s="150" t="s">
        <v>38</v>
      </c>
      <c r="D15" s="168">
        <f>AVERAGE([6]Regressão_2!R12,[6]Regressão_2!R24,[6]Regressão_2!R36,[6]Regressão_2!R48,[6]Regressão_2!R60)</f>
        <v>0.2834899558751281</v>
      </c>
      <c r="E15" s="169">
        <f>AVERAGE([6]Regressão_2!S12,[6]Regressão_2!S24,[6]Regressão_2!S36,[6]Regressão_2!S48,[6]Regressão_2!S60)</f>
        <v>3.4510543841103463</v>
      </c>
      <c r="F15" s="177"/>
      <c r="G15" s="150" t="s">
        <v>38</v>
      </c>
      <c r="H15" s="168">
        <f>AVERAGE([6]Regressão_2!R72)</f>
        <v>0.2225816274946639</v>
      </c>
      <c r="I15" s="169">
        <f>AVERAGE([6]Regressão_2!S72)</f>
        <v>2.398990658208878</v>
      </c>
    </row>
    <row r="16" spans="2:33" x14ac:dyDescent="0.25">
      <c r="B16" s="176"/>
      <c r="C16" s="150" t="s">
        <v>40</v>
      </c>
      <c r="D16" s="168">
        <f>AVERAGE([6]Regressão_2!R13,[6]Regressão_2!R25,[6]Regressão_2!R37,[6]Regressão_2!R49,[6]Regressão_2!R61)</f>
        <v>0.3138145115284221</v>
      </c>
      <c r="E16" s="169">
        <f>AVERAGE([6]Regressão_2!S13,[6]Regressão_2!S25,[6]Regressão_2!S37,[6]Regressão_2!S49,[6]Regressão_2!S61)</f>
        <v>4.790929232080213</v>
      </c>
      <c r="F16" s="177"/>
      <c r="G16" s="150" t="s">
        <v>40</v>
      </c>
      <c r="H16" s="168">
        <f>AVERAGE([6]Regressão_2!R73)</f>
        <v>0.24548854443305007</v>
      </c>
      <c r="I16" s="169">
        <f>AVERAGE([6]Regressão_2!S73)</f>
        <v>3.6898587656740305</v>
      </c>
    </row>
    <row r="17" spans="1:9" ht="15.75" thickBot="1" x14ac:dyDescent="0.3">
      <c r="B17" s="178"/>
      <c r="C17" s="161" t="s">
        <v>42</v>
      </c>
      <c r="D17" s="162">
        <f>AVERAGE([6]Regressão_2!R14,[6]Regressão_2!R26,[6]Regressão_2!R38,[6]Regressão_2!R50,[6]Regressão_2!R62)</f>
        <v>0.2788409354640819</v>
      </c>
      <c r="E17" s="163">
        <f>AVERAGE([6]Regressão_2!S14,[6]Regressão_2!S26,[6]Regressão_2!S38,[6]Regressão_2!S50,[6]Regressão_2!S62)</f>
        <v>4.7730747606019577</v>
      </c>
      <c r="F17" s="164"/>
      <c r="G17" s="161" t="s">
        <v>42</v>
      </c>
      <c r="H17" s="162">
        <f>AVERAGE([6]Regressão_2!R74)</f>
        <v>0.17638614839224964</v>
      </c>
      <c r="I17" s="163">
        <f>AVERAGE([6]Regressão_2!S74)</f>
        <v>2.919364956902827</v>
      </c>
    </row>
    <row r="18" spans="1:9" x14ac:dyDescent="0.25">
      <c r="B18" s="179" t="s">
        <v>78</v>
      </c>
      <c r="C18" s="166" t="s">
        <v>44</v>
      </c>
      <c r="D18" s="157">
        <f>AVERAGE([6]Regressão_2!R15,[6]Regressão_2!R27,[6]Regressão_2!R39,[6]Regressão_2!R51)</f>
        <v>0.2832831057203794</v>
      </c>
      <c r="E18" s="158">
        <f>AVERAGE([6]Regressão_2!S15,[6]Regressão_2!S27,[6]Regressão_2!S39,[6]Regressão_2!S51)</f>
        <v>4.8314004591481057</v>
      </c>
      <c r="F18" s="159" t="s">
        <v>79</v>
      </c>
      <c r="G18" s="166" t="s">
        <v>44</v>
      </c>
      <c r="H18" s="157">
        <f>AVERAGE([6]Regressão_2!R63,[6]Regressão_2!R75)</f>
        <v>0.23690465195186189</v>
      </c>
      <c r="I18" s="158">
        <f>AVERAGE([6]Regressão_2!S63,[6]Regressão_2!S75)</f>
        <v>4.1048534847705564</v>
      </c>
    </row>
    <row r="19" spans="1:9" ht="15.75" thickBot="1" x14ac:dyDescent="0.3">
      <c r="B19" s="180"/>
      <c r="C19" s="161" t="s">
        <v>46</v>
      </c>
      <c r="D19" s="162">
        <f>AVERAGE([6]Regressão_2!R16,[6]Regressão_2!R28,[6]Regressão_2!R40,[6]Regressão_2!R52)</f>
        <v>0.3531439093472229</v>
      </c>
      <c r="E19" s="163">
        <f>AVERAGE([6]Regressão_2!S16,[6]Regressão_2!S28,[6]Regressão_2!S40,[6]Regressão_2!S52)</f>
        <v>5.8665141786544543</v>
      </c>
      <c r="F19" s="164"/>
      <c r="G19" s="161" t="s">
        <v>46</v>
      </c>
      <c r="H19" s="162">
        <f>AVERAGE([6]Regressão_2!R64,[6]Regressão_2!R76)</f>
        <v>0.24633714957062641</v>
      </c>
      <c r="I19" s="163">
        <f>AVERAGE([6]Regressão_2!S64,[6]Regressão_2!S76)</f>
        <v>3.9478357800477513</v>
      </c>
    </row>
    <row r="20" spans="1:9" x14ac:dyDescent="0.25">
      <c r="D20" s="54"/>
    </row>
    <row r="21" spans="1:9" ht="15.75" thickBot="1" x14ac:dyDescent="0.3">
      <c r="B21" s="145" t="s">
        <v>73</v>
      </c>
      <c r="C21" s="145"/>
      <c r="D21" s="145"/>
      <c r="E21" s="145"/>
      <c r="F21" s="145"/>
      <c r="G21" s="145"/>
      <c r="H21" s="145"/>
      <c r="I21" s="145"/>
    </row>
    <row r="22" spans="1:9" x14ac:dyDescent="0.25">
      <c r="A22" s="54"/>
      <c r="B22" s="146" t="s">
        <v>67</v>
      </c>
      <c r="C22" s="147"/>
      <c r="D22" s="147"/>
      <c r="E22" s="148"/>
      <c r="F22" s="146" t="s">
        <v>68</v>
      </c>
      <c r="G22" s="147"/>
      <c r="H22" s="147"/>
      <c r="I22" s="148"/>
    </row>
    <row r="23" spans="1:9" ht="18" thickBot="1" x14ac:dyDescent="0.3">
      <c r="A23" s="54"/>
      <c r="B23" s="173"/>
      <c r="C23" s="150" t="s">
        <v>4</v>
      </c>
      <c r="D23" s="154" t="s">
        <v>20</v>
      </c>
      <c r="E23" s="174" t="s">
        <v>21</v>
      </c>
      <c r="F23" s="153"/>
      <c r="G23" s="150" t="s">
        <v>4</v>
      </c>
      <c r="H23" s="154" t="s">
        <v>20</v>
      </c>
      <c r="I23" s="174" t="s">
        <v>21</v>
      </c>
    </row>
    <row r="24" spans="1:9" x14ac:dyDescent="0.25">
      <c r="A24" s="54"/>
      <c r="B24" s="155" t="s">
        <v>77</v>
      </c>
      <c r="C24" s="156" t="s">
        <v>24</v>
      </c>
      <c r="D24" s="157">
        <f>AVERAGE([6]Regressão_2!L5,[6]Regressão_2!L17,[6]Regressão_2!L29,[6]Regressão_2!L41,[6]Regressão_2!L53)</f>
        <v>9.5624304095555265E-2</v>
      </c>
      <c r="E24" s="158">
        <f>AVERAGE([6]Regressão_2!M5,[6]Regressão_2!M17,[6]Regressão_2!M29,[6]Regressão_2!M41,[6]Regressão_2!M53)</f>
        <v>1.6612450961171465</v>
      </c>
      <c r="F24" s="175">
        <v>12</v>
      </c>
      <c r="G24" s="156" t="s">
        <v>24</v>
      </c>
      <c r="H24" s="157">
        <f>AVERAGE([6]Regressão_2!L65)</f>
        <v>4.2580855450273472E-2</v>
      </c>
      <c r="I24" s="158">
        <f>AVERAGE([6]Regressão_2!M65)</f>
        <v>0.70060531218177236</v>
      </c>
    </row>
    <row r="25" spans="1:9" x14ac:dyDescent="0.25">
      <c r="A25" s="54"/>
      <c r="B25" s="176"/>
      <c r="C25" s="150" t="s">
        <v>26</v>
      </c>
      <c r="D25" s="168">
        <f>AVERAGE([6]Regressão_2!L6,[6]Regressão_2!L18,[6]Regressão_2!L30,[6]Regressão_2!L42,[6]Regressão_2!L54)</f>
        <v>9.2822744418368325E-2</v>
      </c>
      <c r="E25" s="169">
        <f>AVERAGE([6]Regressão_2!M6,[6]Regressão_2!M18,[6]Regressão_2!M30,[6]Regressão_2!M42,[6]Regressão_2!M54)</f>
        <v>1.5399288559105633</v>
      </c>
      <c r="F25" s="177"/>
      <c r="G25" s="150" t="s">
        <v>26</v>
      </c>
      <c r="H25" s="168">
        <f>AVERAGE([6]Regressão_2!L66)</f>
        <v>5.8847087883721998E-2</v>
      </c>
      <c r="I25" s="169">
        <f>AVERAGE([6]Regressão_2!M66)</f>
        <v>1.0104092513575524</v>
      </c>
    </row>
    <row r="26" spans="1:9" x14ac:dyDescent="0.25">
      <c r="A26" s="54"/>
      <c r="B26" s="176"/>
      <c r="C26" s="150" t="s">
        <v>28</v>
      </c>
      <c r="D26" s="168">
        <f>AVERAGE([6]Regressão_2!L7,[6]Regressão_2!L19,[6]Regressão_2!L31,[6]Regressão_2!L43,[6]Regressão_2!L55)</f>
        <v>0.10762776495418291</v>
      </c>
      <c r="E26" s="169">
        <f>AVERAGE([6]Regressão_2!M7,[6]Regressão_2!M19,[6]Regressão_2!M31,[6]Regressão_2!M43,[6]Regressão_2!M55)</f>
        <v>1.7466728034321832</v>
      </c>
      <c r="F26" s="177"/>
      <c r="G26" s="150" t="s">
        <v>28</v>
      </c>
      <c r="H26" s="168">
        <f>AVERAGE([6]Regressão_2!L67)</f>
        <v>5.6510958511168753E-2</v>
      </c>
      <c r="I26" s="169">
        <f>AVERAGE([6]Regressão_2!M67)</f>
        <v>0.8967618580477672</v>
      </c>
    </row>
    <row r="27" spans="1:9" x14ac:dyDescent="0.25">
      <c r="A27" s="54"/>
      <c r="B27" s="176"/>
      <c r="C27" s="150" t="s">
        <v>30</v>
      </c>
      <c r="D27" s="168">
        <f>AVERAGE([6]Regressão_2!L8,[6]Regressão_2!L20,[6]Regressão_2!L32,[6]Regressão_2!L44,[6]Regressão_2!L56)</f>
        <v>0.12210603662912729</v>
      </c>
      <c r="E27" s="169">
        <f>AVERAGE([6]Regressão_2!M8,[6]Regressão_2!M20,[6]Regressão_2!M32,[6]Regressão_2!M44,[6]Regressão_2!M56)</f>
        <v>1.813952400487715</v>
      </c>
      <c r="F27" s="177"/>
      <c r="G27" s="150" t="s">
        <v>30</v>
      </c>
      <c r="H27" s="168">
        <f>AVERAGE([6]Regressão_2!L68)</f>
        <v>7.5423449116400698E-2</v>
      </c>
      <c r="I27" s="169">
        <f>AVERAGE([6]Regressão_2!M68)</f>
        <v>1.1396337558743559</v>
      </c>
    </row>
    <row r="28" spans="1:9" x14ac:dyDescent="0.25">
      <c r="A28" s="54"/>
      <c r="B28" s="176"/>
      <c r="C28" s="150" t="s">
        <v>32</v>
      </c>
      <c r="D28" s="168">
        <f>AVERAGE([6]Regressão_2!L9,[6]Regressão_2!L21,[6]Regressão_2!L33,[6]Regressão_2!L45,[6]Regressão_2!L57)</f>
        <v>0.12782250493355207</v>
      </c>
      <c r="E28" s="169">
        <f>AVERAGE([6]Regressão_2!M9,[6]Regressão_2!M21,[6]Regressão_2!M33,[6]Regressão_2!M45,[6]Regressão_2!M57)</f>
        <v>2.2333082821383465</v>
      </c>
      <c r="F28" s="177"/>
      <c r="G28" s="150" t="s">
        <v>32</v>
      </c>
      <c r="H28" s="168">
        <f>AVERAGE([6]Regressão_2!L69)</f>
        <v>8.0390560779998052E-2</v>
      </c>
      <c r="I28" s="169">
        <f>AVERAGE([6]Regressão_2!M69)</f>
        <v>1.3773508612590919</v>
      </c>
    </row>
    <row r="29" spans="1:9" x14ac:dyDescent="0.25">
      <c r="A29" s="54"/>
      <c r="B29" s="176"/>
      <c r="C29" s="150" t="s">
        <v>34</v>
      </c>
      <c r="D29" s="168">
        <f>AVERAGE([6]Regressão_2!L10,[6]Regressão_2!L22,[6]Regressão_2!L34,[6]Regressão_2!L46,[6]Regressão_2!L58)</f>
        <v>0.14829669444701749</v>
      </c>
      <c r="E29" s="169">
        <f>AVERAGE([6]Regressão_2!M10,[6]Regressão_2!M22,[6]Regressão_2!M34,[6]Regressão_2!M46,[6]Regressão_2!M58)</f>
        <v>2.4038934663568967</v>
      </c>
      <c r="F29" s="177"/>
      <c r="G29" s="150" t="s">
        <v>34</v>
      </c>
      <c r="H29" s="168">
        <f>AVERAGE([6]Regressão_2!L70)</f>
        <v>9.8372590124640322E-2</v>
      </c>
      <c r="I29" s="169">
        <f>AVERAGE([6]Regressão_2!M70)</f>
        <v>1.5613168250882956</v>
      </c>
    </row>
    <row r="30" spans="1:9" x14ac:dyDescent="0.25">
      <c r="A30" s="54"/>
      <c r="B30" s="176"/>
      <c r="C30" s="150" t="s">
        <v>36</v>
      </c>
      <c r="D30" s="168">
        <f>AVERAGE([6]Regressão_2!L11,[6]Regressão_2!L23,[6]Regressão_2!L35,[6]Regressão_2!L47,[6]Regressão_2!L59)</f>
        <v>0.1437844339886572</v>
      </c>
      <c r="E30" s="169">
        <f>AVERAGE([6]Regressão_2!M11,[6]Regressão_2!M23,[6]Regressão_2!M35,[6]Regressão_2!M47,[6]Regressão_2!M59)</f>
        <v>2.3169481621320278</v>
      </c>
      <c r="F30" s="177"/>
      <c r="G30" s="150" t="s">
        <v>36</v>
      </c>
      <c r="H30" s="168">
        <f>AVERAGE([6]Regressão_2!L71)</f>
        <v>9.7631535400470121E-2</v>
      </c>
      <c r="I30" s="169">
        <f>AVERAGE([6]Regressão_2!M71)</f>
        <v>1.5150017546112498</v>
      </c>
    </row>
    <row r="31" spans="1:9" x14ac:dyDescent="0.25">
      <c r="A31" s="54"/>
      <c r="B31" s="176"/>
      <c r="C31" s="150" t="s">
        <v>38</v>
      </c>
      <c r="D31" s="168">
        <f>AVERAGE([6]Regressão_2!L12,[6]Regressão_2!L24,[6]Regressão_2!L36,[6]Regressão_2!L48,[6]Regressão_2!L60)</f>
        <v>0.12256331958095186</v>
      </c>
      <c r="E31" s="169">
        <f>AVERAGE([6]Regressão_2!M12,[6]Regressão_2!M24,[6]Regressão_2!M36,[6]Regressão_2!M48,[6]Regressão_2!M60)</f>
        <v>1.492835823454042</v>
      </c>
      <c r="F31" s="177"/>
      <c r="G31" s="150" t="s">
        <v>38</v>
      </c>
      <c r="H31" s="168">
        <f>AVERAGE([6]Regressão_2!L72)</f>
        <v>0.10536869972280374</v>
      </c>
      <c r="I31" s="169">
        <f>AVERAGE([6]Regressão_2!M72)</f>
        <v>1.1356666277798808</v>
      </c>
    </row>
    <row r="32" spans="1:9" x14ac:dyDescent="0.25">
      <c r="A32" s="54"/>
      <c r="B32" s="176"/>
      <c r="C32" s="150" t="s">
        <v>40</v>
      </c>
      <c r="D32" s="168">
        <f>AVERAGE([6]Regressão_2!L13,[6]Regressão_2!L25,[6]Regressão_2!L37,[6]Regressão_2!L49,[6]Regressão_2!L61)</f>
        <v>0.14641819641342807</v>
      </c>
      <c r="E32" s="169">
        <f>AVERAGE([6]Regressão_2!M13,[6]Regressão_2!M25,[6]Regressão_2!M37,[6]Regressão_2!M49,[6]Regressão_2!M61)</f>
        <v>2.2347895720247992</v>
      </c>
      <c r="F32" s="177"/>
      <c r="G32" s="150" t="s">
        <v>40</v>
      </c>
      <c r="H32" s="168">
        <f>AVERAGE([6]Regressão_2!L73)</f>
        <v>9.0773972821589E-2</v>
      </c>
      <c r="I32" s="169">
        <f>AVERAGE([6]Regressão_2!M73)</f>
        <v>1.3643941719738473</v>
      </c>
    </row>
    <row r="33" spans="1:9" ht="15.75" thickBot="1" x14ac:dyDescent="0.3">
      <c r="A33" s="54"/>
      <c r="B33" s="178"/>
      <c r="C33" s="161" t="s">
        <v>42</v>
      </c>
      <c r="D33" s="168">
        <f>AVERAGE([6]Regressão_2!L14,[6]Regressão_2!L26,[6]Regressão_2!L38,[6]Regressão_2!L50,[6]Regressão_2!L62)</f>
        <v>0.12970689896615159</v>
      </c>
      <c r="E33" s="163">
        <f>AVERAGE([6]Regressão_2!M14,[6]Regressão_2!M26,[6]Regressão_2!M38,[6]Regressão_2!M50,[6]Regressão_2!M62)</f>
        <v>2.2208490881976628</v>
      </c>
      <c r="F33" s="164"/>
      <c r="G33" s="161" t="s">
        <v>42</v>
      </c>
      <c r="H33" s="162">
        <f>AVERAGE([6]Regressão_2!L74)</f>
        <v>5.7791950818445792E-2</v>
      </c>
      <c r="I33" s="163">
        <f>AVERAGE([6]Regressão_2!M74)</f>
        <v>0.95651386204788635</v>
      </c>
    </row>
    <row r="34" spans="1:9" x14ac:dyDescent="0.25">
      <c r="A34" s="54"/>
      <c r="B34" s="179" t="s">
        <v>78</v>
      </c>
      <c r="C34" s="166" t="s">
        <v>44</v>
      </c>
      <c r="D34" s="157">
        <f>AVERAGE([6]Regressão_2!L15,[6]Regressão_2!L27,[6]Regressão_2!L39,[6]Regressão_2!L51)</f>
        <v>0.10270168088423348</v>
      </c>
      <c r="E34" s="158">
        <f>AVERAGE([6]Regressão_2!M15,[6]Regressão_2!M27,[6]Regressão_2!M39,[6]Regressão_2!M51)</f>
        <v>1.7525235038933831</v>
      </c>
      <c r="F34" s="170" t="s">
        <v>79</v>
      </c>
      <c r="G34" s="150" t="s">
        <v>44</v>
      </c>
      <c r="H34" s="168">
        <f>AVERAGE([6]Regressão_2!L63,[6]Regressão_2!L75)</f>
        <v>6.8895344206767462E-2</v>
      </c>
      <c r="I34" s="169">
        <f>AVERAGE([6]Regressão_2!M63,[6]Regressão_2!M75)</f>
        <v>1.1907347714899332</v>
      </c>
    </row>
    <row r="35" spans="1:9" ht="15.75" thickBot="1" x14ac:dyDescent="0.3">
      <c r="A35" s="54"/>
      <c r="B35" s="180"/>
      <c r="C35" s="161" t="s">
        <v>46</v>
      </c>
      <c r="D35" s="162">
        <f>AVERAGE([6]Regressão_2!L16,[6]Regressão_2!L28,[6]Regressão_2!L40,[6]Regressão_2!L52)</f>
        <v>9.6316139637605602E-2</v>
      </c>
      <c r="E35" s="163">
        <f>AVERAGE([6]Regressão_2!M16,[6]Regressão_2!M28,[6]Regressão_2!M40,[6]Regressão_2!M52)</f>
        <v>1.5994125530741354</v>
      </c>
      <c r="F35" s="164"/>
      <c r="G35" s="161" t="s">
        <v>46</v>
      </c>
      <c r="H35" s="162">
        <f>AVERAGE([6]Regressão_2!L64,[6]Regressão_2!L76)</f>
        <v>4.5119117383437241E-2</v>
      </c>
      <c r="I35" s="163">
        <f>AVERAGE([6]Regressão_2!M64,[6]Regressão_2!M76)</f>
        <v>0.72303903486581378</v>
      </c>
    </row>
  </sheetData>
  <sheetProtection password="A926" sheet="1" formatCells="0" formatColumns="0" formatRows="0" insertColumns="0" insertRows="0" insertHyperlinks="0" deleteColumns="0" deleteRows="0" sort="0" autoFilter="0" pivotTables="0"/>
  <mergeCells count="17">
    <mergeCell ref="M1:T2"/>
    <mergeCell ref="X1:AE2"/>
    <mergeCell ref="B4:I4"/>
    <mergeCell ref="B5:I5"/>
    <mergeCell ref="B34:B35"/>
    <mergeCell ref="F34:F35"/>
    <mergeCell ref="B6:E6"/>
    <mergeCell ref="F6:I6"/>
    <mergeCell ref="B8:B17"/>
    <mergeCell ref="F8:F17"/>
    <mergeCell ref="B18:B19"/>
    <mergeCell ref="F18:F19"/>
    <mergeCell ref="B21:I21"/>
    <mergeCell ref="B22:E22"/>
    <mergeCell ref="F22:I22"/>
    <mergeCell ref="B24:B33"/>
    <mergeCell ref="F24:F33"/>
  </mergeCells>
  <pageMargins left="0.7" right="0.7" top="0.75" bottom="0.75" header="0.3" footer="0.3"/>
  <pageSetup paperSize="9" scale="92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68"/>
  <sheetViews>
    <sheetView zoomScaleNormal="100" workbookViewId="0">
      <selection activeCell="C13" sqref="C13"/>
    </sheetView>
  </sheetViews>
  <sheetFormatPr defaultRowHeight="15" x14ac:dyDescent="0.25"/>
  <cols>
    <col min="1" max="10" width="9.140625" style="2"/>
    <col min="11" max="11" width="9.140625" style="59"/>
    <col min="12" max="21" width="9.140625" style="2"/>
    <col min="22" max="22" width="9.140625" style="59"/>
    <col min="23" max="32" width="9.140625" style="2"/>
    <col min="33" max="33" width="9.140625" style="59"/>
    <col min="34" max="16384" width="9.140625" style="2"/>
  </cols>
  <sheetData>
    <row r="1" spans="1:31" ht="15" customHeight="1" x14ac:dyDescent="0.25">
      <c r="M1" s="58" t="s">
        <v>61</v>
      </c>
      <c r="N1" s="58"/>
      <c r="O1" s="58"/>
      <c r="P1" s="58"/>
      <c r="Q1" s="58"/>
      <c r="R1" s="58"/>
      <c r="S1" s="58"/>
      <c r="T1" s="58"/>
      <c r="X1" s="58" t="s">
        <v>64</v>
      </c>
      <c r="Y1" s="58"/>
      <c r="Z1" s="58"/>
      <c r="AA1" s="58"/>
      <c r="AB1" s="58"/>
      <c r="AC1" s="58"/>
      <c r="AD1" s="58"/>
      <c r="AE1" s="58"/>
    </row>
    <row r="2" spans="1:31" ht="15" customHeight="1" x14ac:dyDescent="0.25">
      <c r="M2" s="58"/>
      <c r="N2" s="58"/>
      <c r="O2" s="58"/>
      <c r="P2" s="58"/>
      <c r="Q2" s="58"/>
      <c r="R2" s="58"/>
      <c r="S2" s="58"/>
      <c r="T2" s="58"/>
      <c r="X2" s="58"/>
      <c r="Y2" s="58"/>
      <c r="Z2" s="58"/>
      <c r="AA2" s="58"/>
      <c r="AB2" s="58"/>
      <c r="AC2" s="58"/>
      <c r="AD2" s="58"/>
      <c r="AE2" s="58"/>
    </row>
    <row r="4" spans="1:31" x14ac:dyDescent="0.25">
      <c r="B4" s="142" t="s">
        <v>81</v>
      </c>
      <c r="C4" s="142"/>
      <c r="D4" s="142"/>
      <c r="E4" s="142"/>
      <c r="F4" s="142"/>
      <c r="G4" s="142"/>
      <c r="H4" s="142"/>
      <c r="I4" s="142"/>
      <c r="K4" s="143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3"/>
    </row>
    <row r="5" spans="1:31" ht="15.75" thickBot="1" x14ac:dyDescent="0.3">
      <c r="B5" s="145" t="s">
        <v>66</v>
      </c>
      <c r="C5" s="145"/>
      <c r="D5" s="145"/>
      <c r="E5" s="145"/>
      <c r="F5" s="145"/>
      <c r="G5" s="145"/>
      <c r="H5" s="145"/>
      <c r="I5" s="145"/>
    </row>
    <row r="6" spans="1:31" x14ac:dyDescent="0.25">
      <c r="B6" s="146" t="s">
        <v>67</v>
      </c>
      <c r="C6" s="147"/>
      <c r="D6" s="147"/>
      <c r="E6" s="148"/>
      <c r="F6" s="146" t="s">
        <v>68</v>
      </c>
      <c r="G6" s="147"/>
      <c r="H6" s="147"/>
      <c r="I6" s="148"/>
      <c r="L6" s="54"/>
    </row>
    <row r="7" spans="1:31" ht="18" thickBot="1" x14ac:dyDescent="0.3">
      <c r="B7" s="149"/>
      <c r="C7" s="150" t="s">
        <v>4</v>
      </c>
      <c r="D7" s="151" t="s">
        <v>20</v>
      </c>
      <c r="E7" s="152" t="s">
        <v>21</v>
      </c>
      <c r="F7" s="153"/>
      <c r="G7" s="150" t="s">
        <v>4</v>
      </c>
      <c r="H7" s="154" t="s">
        <v>20</v>
      </c>
      <c r="I7" s="152" t="s">
        <v>21</v>
      </c>
      <c r="L7" s="54"/>
    </row>
    <row r="8" spans="1:31" ht="15" customHeight="1" x14ac:dyDescent="0.25">
      <c r="B8" s="159" t="s">
        <v>71</v>
      </c>
      <c r="C8" s="156" t="s">
        <v>24</v>
      </c>
      <c r="D8" s="157">
        <f>AVERAGE([6]Regressão_2!R5,[6]Regressão_2!R17)</f>
        <v>0.39324300865858863</v>
      </c>
      <c r="E8" s="158">
        <f>AVERAGE([6]Regressão_2!S5,[6]Regressão_2!S17)</f>
        <v>6.8823415522473024</v>
      </c>
      <c r="F8" s="159" t="s">
        <v>72</v>
      </c>
      <c r="G8" s="156" t="s">
        <v>24</v>
      </c>
      <c r="H8" s="157">
        <f>AVERAGE([6]Regressão_2!R29,[6]Regressão_2!R41,[6]Regressão_2!R53,[6]Regressão_2!R65)</f>
        <v>0.3339031628470302</v>
      </c>
      <c r="I8" s="158">
        <f>AVERAGE([6]Regressão_2!S29,[6]Regressão_2!S41,[6]Regressão_2!S53,[6]Regressão_2!S65)</f>
        <v>5.7242105823356306</v>
      </c>
      <c r="L8" s="54"/>
    </row>
    <row r="9" spans="1:31" x14ac:dyDescent="0.25">
      <c r="B9" s="170"/>
      <c r="C9" s="181" t="s">
        <v>26</v>
      </c>
      <c r="D9" s="168">
        <f>AVERAGE([6]Regressão_2!R6,[6]Regressão_2!R18)</f>
        <v>0.3995342171749825</v>
      </c>
      <c r="E9" s="169">
        <f>AVERAGE([6]Regressão_2!S6,[6]Regressão_2!S18)</f>
        <v>6.6329165375999271</v>
      </c>
      <c r="F9" s="170"/>
      <c r="G9" s="181" t="s">
        <v>26</v>
      </c>
      <c r="H9" s="168">
        <f>AVERAGE([6]Regressão_2!R30,[6]Regressão_2!R42,[6]Regressão_2!R54,[6]Regressão_2!R66)</f>
        <v>0.34294552023158326</v>
      </c>
      <c r="I9" s="169">
        <f>AVERAGE([6]Regressão_2!S30,[6]Regressão_2!S42,[6]Regressão_2!S54,[6]Regressão_2!S66)</f>
        <v>5.7237804980450662</v>
      </c>
      <c r="L9" s="54"/>
    </row>
    <row r="10" spans="1:31" ht="15" customHeight="1" thickBot="1" x14ac:dyDescent="0.3">
      <c r="A10" s="54"/>
      <c r="B10" s="172"/>
      <c r="C10" s="182" t="s">
        <v>28</v>
      </c>
      <c r="D10" s="162">
        <f>AVERAGE([6]Regressão_2!R7,[6]Regressão_2!R19)</f>
        <v>0.39624010902017842</v>
      </c>
      <c r="E10" s="163">
        <f>AVERAGE([6]Regressão_2!S7,[6]Regressão_2!S19)</f>
        <v>6.4322671418110833</v>
      </c>
      <c r="F10" s="172"/>
      <c r="G10" s="182" t="s">
        <v>28</v>
      </c>
      <c r="H10" s="162">
        <f>AVERAGE([6]Regressão_2!R31,[6]Regressão_2!R43,[6]Regressão_2!R55,[6]Regressão_2!R67)</f>
        <v>0.2847215534004916</v>
      </c>
      <c r="I10" s="163">
        <f>AVERAGE([6]Regressão_2!S31,[6]Regressão_2!S43,[6]Regressão_2!S55,[6]Regressão_2!S67)</f>
        <v>4.5989765757102843</v>
      </c>
      <c r="L10" s="54"/>
    </row>
    <row r="11" spans="1:31" ht="15" customHeight="1" x14ac:dyDescent="0.25">
      <c r="A11" s="54"/>
      <c r="B11" s="183" t="s">
        <v>54</v>
      </c>
      <c r="C11" s="156" t="s">
        <v>30</v>
      </c>
      <c r="D11" s="157">
        <f>AVERAGE([6]Regressão_2!R8)</f>
        <v>0.40977175400963323</v>
      </c>
      <c r="E11" s="158">
        <f>AVERAGE([6]Regressão_2!S8)</f>
        <v>6.1968819008897968</v>
      </c>
      <c r="F11" s="159" t="s">
        <v>80</v>
      </c>
      <c r="G11" s="156" t="s">
        <v>30</v>
      </c>
      <c r="H11" s="157">
        <f>AVERAGE([6]Regressão_2!R20,[6]Regressão_2!R32,[6]Regressão_2!R44,[6]Regressão_2!R56,[6]Regressão_2!R68)</f>
        <v>0.29136266406963829</v>
      </c>
      <c r="I11" s="158">
        <f>AVERAGE([6]Regressão_2!S20,[6]Regressão_2!S32,[6]Regressão_2!S44,[6]Regressão_2!S56,[6]Regressão_2!S68)</f>
        <v>4.3205098256305714</v>
      </c>
      <c r="L11" s="54"/>
    </row>
    <row r="12" spans="1:31" x14ac:dyDescent="0.25">
      <c r="A12" s="54"/>
      <c r="B12" s="184"/>
      <c r="C12" s="181" t="s">
        <v>32</v>
      </c>
      <c r="D12" s="168">
        <f>AVERAGE([6]Regressão_2!R9)</f>
        <v>0.33821303478198828</v>
      </c>
      <c r="E12" s="169">
        <f>AVERAGE([6]Regressão_2!S9)</f>
        <v>5.9528562593598711</v>
      </c>
      <c r="F12" s="170"/>
      <c r="G12" s="181" t="s">
        <v>32</v>
      </c>
      <c r="H12" s="168">
        <f>AVERAGE([6]Regressão_2!R21,[6]Regressão_2!R33,[6]Regressão_2!R45,[6]Regressão_2!R57,[6]Regressão_2!R69)</f>
        <v>0.26885027731990058</v>
      </c>
      <c r="I12" s="169">
        <f>AVERAGE([6]Regressão_2!S21,[6]Regressão_2!S33,[6]Regressão_2!S45,[6]Regressão_2!S57,[6]Regressão_2!S69)</f>
        <v>4.6737864516468068</v>
      </c>
      <c r="L12" s="54"/>
    </row>
    <row r="13" spans="1:31" x14ac:dyDescent="0.25">
      <c r="A13" s="54"/>
      <c r="B13" s="184"/>
      <c r="C13" s="181" t="s">
        <v>34</v>
      </c>
      <c r="D13" s="168">
        <f>AVERAGE([6]Regressão_2!R10)</f>
        <v>0.37083328288764239</v>
      </c>
      <c r="E13" s="169">
        <f>AVERAGE([6]Regressão_2!S10)</f>
        <v>6.090896124858288</v>
      </c>
      <c r="F13" s="170"/>
      <c r="G13" s="181" t="s">
        <v>34</v>
      </c>
      <c r="H13" s="168">
        <f>AVERAGE([6]Regressão_2!R22,[6]Regressão_2!R34,[6]Regressão_2!R46,[6]Regressão_2!R58,[6]Regressão_2!R70)</f>
        <v>0.27891342245106426</v>
      </c>
      <c r="I13" s="169">
        <f>AVERAGE([6]Regressão_2!S22,[6]Regressão_2!S34,[6]Regressão_2!S46,[6]Regressão_2!S58,[6]Regressão_2!S70)</f>
        <v>4.4843654756000495</v>
      </c>
    </row>
    <row r="14" spans="1:31" x14ac:dyDescent="0.25">
      <c r="A14" s="54"/>
      <c r="B14" s="184"/>
      <c r="C14" s="181" t="s">
        <v>36</v>
      </c>
      <c r="D14" s="168">
        <f>AVERAGE([6]Regressão_2!R11)</f>
        <v>0.38555425128923654</v>
      </c>
      <c r="E14" s="169">
        <f>AVERAGE([6]Regressão_2!S11)</f>
        <v>6.3104107202965496</v>
      </c>
      <c r="F14" s="170"/>
      <c r="G14" s="181" t="s">
        <v>36</v>
      </c>
      <c r="H14" s="168">
        <f>AVERAGE([6]Regressão_2!R23,[6]Regressão_2!R35,[6]Regressão_2!R47,[6]Regressão_2!R59,[6]Regressão_2!R71)</f>
        <v>0.26357946742955762</v>
      </c>
      <c r="I14" s="169">
        <f>AVERAGE([6]Regressão_2!S23,[6]Regressão_2!S35,[6]Regressão_2!S47,[6]Regressão_2!S59,[6]Regressão_2!S71)</f>
        <v>4.1925407933012639</v>
      </c>
    </row>
    <row r="15" spans="1:31" x14ac:dyDescent="0.25">
      <c r="A15" s="54"/>
      <c r="B15" s="184"/>
      <c r="C15" s="181" t="s">
        <v>38</v>
      </c>
      <c r="D15" s="168">
        <f>AVERAGE([6]Regressão_2!R12)</f>
        <v>0.31267531814423921</v>
      </c>
      <c r="E15" s="169">
        <f>AVERAGE([6]Regressão_2!S12)</f>
        <v>3.7579999917767157</v>
      </c>
      <c r="F15" s="170"/>
      <c r="G15" s="181" t="s">
        <v>38</v>
      </c>
      <c r="H15" s="168">
        <f>AVERAGE([6]Regressão_2!R24,[6]Regressão_2!R36,[6]Regressão_2!R48,[6]Regressão_2!R60,[6]Regressão_2!R72)</f>
        <v>0.26547121774521304</v>
      </c>
      <c r="I15" s="169">
        <f>AVERAGE([6]Regressão_2!S24,[6]Regressão_2!S36,[6]Regressão_2!S48,[6]Regressão_2!S60,[6]Regressão_2!S72)</f>
        <v>3.1792525173967783</v>
      </c>
    </row>
    <row r="16" spans="1:31" x14ac:dyDescent="0.25">
      <c r="B16" s="184"/>
      <c r="C16" s="181" t="s">
        <v>40</v>
      </c>
      <c r="D16" s="168">
        <f>AVERAGE([6]Regressão_2!R13)</f>
        <v>0.37291962283410324</v>
      </c>
      <c r="E16" s="169">
        <f>AVERAGE([6]Regressão_2!S13)</f>
        <v>5.6821862838704646</v>
      </c>
      <c r="F16" s="170"/>
      <c r="G16" s="181" t="s">
        <v>40</v>
      </c>
      <c r="H16" s="168">
        <f>AVERAGE([6]Regressão_2!R25,[6]Regressão_2!R37,[6]Regressão_2!R49,[6]Regressão_2!R61,[6]Regressão_2!R73)</f>
        <v>0.28832829584821151</v>
      </c>
      <c r="I16" s="169">
        <f>AVERAGE([6]Regressão_2!S25,[6]Regressão_2!S37,[6]Regressão_2!S49,[6]Regressão_2!S61,[6]Regressão_2!S73)</f>
        <v>4.3924637284409274</v>
      </c>
    </row>
    <row r="17" spans="1:12" x14ac:dyDescent="0.25">
      <c r="B17" s="184"/>
      <c r="C17" s="181" t="s">
        <v>42</v>
      </c>
      <c r="D17" s="168">
        <f>AVERAGE([6]Regressão_2!R14)</f>
        <v>0.32608585905795301</v>
      </c>
      <c r="E17" s="169">
        <f>AVERAGE([6]Regressão_2!S14)</f>
        <v>5.6259246541247165</v>
      </c>
      <c r="F17" s="170"/>
      <c r="G17" s="181" t="s">
        <v>42</v>
      </c>
      <c r="H17" s="168">
        <f>AVERAGE([6]Regressão_2!R26,[6]Regressão_2!R38,[6]Regressão_2!R50,[6]Regressão_2!R62,[6]Regressão_2!R74)</f>
        <v>0.24890099333094123</v>
      </c>
      <c r="I17" s="169">
        <f>AVERAGE([6]Regressão_2!S26,[6]Regressão_2!S38,[6]Regressão_2!S50,[6]Regressão_2!S62,[6]Regressão_2!S74)</f>
        <v>4.2317628211575791</v>
      </c>
    </row>
    <row r="18" spans="1:12" ht="15" customHeight="1" x14ac:dyDescent="0.25">
      <c r="B18" s="184"/>
      <c r="C18" s="181" t="s">
        <v>44</v>
      </c>
      <c r="D18" s="168">
        <f>AVERAGE([6]Regressão_2!R15)</f>
        <v>0.30985911068886618</v>
      </c>
      <c r="E18" s="169">
        <f>AVERAGE([6]Regressão_2!S15)</f>
        <v>5.3682796252149174</v>
      </c>
      <c r="F18" s="170"/>
      <c r="G18" s="181" t="s">
        <v>44</v>
      </c>
      <c r="H18" s="168">
        <f>AVERAGE([6]Regressão_2!R27,[6]Regressão_2!R39,[6]Regressão_2!R51,[6]Regressão_2!R63,[6]Regressão_2!R75)</f>
        <v>0.259416523219275</v>
      </c>
      <c r="I18" s="169">
        <f>AVERAGE([6]Regressão_2!S27,[6]Regressão_2!S39,[6]Regressão_2!S51,[6]Regressão_2!S63,[6]Regressão_2!S75)</f>
        <v>4.4334058361837236</v>
      </c>
    </row>
    <row r="19" spans="1:12" ht="15.75" thickBot="1" x14ac:dyDescent="0.3">
      <c r="B19" s="185"/>
      <c r="C19" s="182" t="s">
        <v>46</v>
      </c>
      <c r="D19" s="162">
        <f>AVERAGE([6]Regressão_2!R16)</f>
        <v>0.38497801670488446</v>
      </c>
      <c r="E19" s="163">
        <f>AVERAGE([6]Regressão_2!S16)</f>
        <v>6.4695712724470074</v>
      </c>
      <c r="F19" s="172"/>
      <c r="G19" s="182" t="s">
        <v>46</v>
      </c>
      <c r="H19" s="162">
        <f>AVERAGE([6]Regressão_2!R28,[6]Regressão_2!R40,[6]Regressão_2!R52,[6]Regressão_2!R64,[6]Regressão_2!R76)</f>
        <v>0.30405438396505197</v>
      </c>
      <c r="I19" s="163">
        <f>AVERAGE([6]Regressão_2!S28,[6]Regressão_2!S40,[6]Regressão_2!S52,[6]Regressão_2!S64,[6]Regressão_2!S76)</f>
        <v>4.9784314004532622</v>
      </c>
    </row>
    <row r="20" spans="1:12" x14ac:dyDescent="0.25">
      <c r="D20" s="54"/>
    </row>
    <row r="21" spans="1:12" ht="15.75" thickBot="1" x14ac:dyDescent="0.3">
      <c r="A21" s="54"/>
      <c r="B21" s="145" t="s">
        <v>73</v>
      </c>
      <c r="C21" s="145"/>
      <c r="D21" s="145"/>
      <c r="E21" s="145"/>
      <c r="F21" s="145"/>
      <c r="G21" s="145"/>
      <c r="H21" s="145"/>
      <c r="I21" s="145"/>
    </row>
    <row r="22" spans="1:12" x14ac:dyDescent="0.25">
      <c r="A22" s="54"/>
      <c r="B22" s="146" t="s">
        <v>67</v>
      </c>
      <c r="C22" s="147"/>
      <c r="D22" s="147"/>
      <c r="E22" s="148"/>
      <c r="F22" s="146" t="s">
        <v>68</v>
      </c>
      <c r="G22" s="147"/>
      <c r="H22" s="147"/>
      <c r="I22" s="148"/>
    </row>
    <row r="23" spans="1:12" ht="18" thickBot="1" x14ac:dyDescent="0.3">
      <c r="A23" s="54"/>
      <c r="B23" s="173"/>
      <c r="C23" s="150" t="s">
        <v>4</v>
      </c>
      <c r="D23" s="151" t="s">
        <v>20</v>
      </c>
      <c r="E23" s="152" t="s">
        <v>21</v>
      </c>
      <c r="F23" s="153"/>
      <c r="G23" s="150" t="s">
        <v>4</v>
      </c>
      <c r="H23" s="151" t="s">
        <v>20</v>
      </c>
      <c r="I23" s="152" t="s">
        <v>21</v>
      </c>
    </row>
    <row r="24" spans="1:12" ht="15" customHeight="1" x14ac:dyDescent="0.25">
      <c r="A24" s="54"/>
      <c r="B24" s="159" t="s">
        <v>71</v>
      </c>
      <c r="C24" s="156" t="s">
        <v>24</v>
      </c>
      <c r="D24" s="157">
        <f>AVERAGE([6]Regressão_2!L5,[6]Regressão_2!L17)</f>
        <v>0.10489072624341222</v>
      </c>
      <c r="E24" s="158">
        <f>AVERAGE([6]Regressão_2!M5,[6]Regressão_2!M17)</f>
        <v>1.8286549180979046</v>
      </c>
      <c r="F24" s="159" t="s">
        <v>72</v>
      </c>
      <c r="G24" s="156" t="s">
        <v>24</v>
      </c>
      <c r="H24" s="157">
        <f>AVERAGE([6]Regressão_2!L29,[6]Regressão_2!L41,[6]Regressão_2!L53,[6]Regressão_2!L65)</f>
        <v>7.7730230860306324E-2</v>
      </c>
      <c r="I24" s="158">
        <f>AVERAGE([6]Regressão_2!M29,[6]Regressão_2!M41,[6]Regressão_2!M53,[6]Regressão_2!M65)</f>
        <v>1.3373802391429239</v>
      </c>
    </row>
    <row r="25" spans="1:12" x14ac:dyDescent="0.25">
      <c r="A25" s="54"/>
      <c r="B25" s="170"/>
      <c r="C25" s="150" t="s">
        <v>26</v>
      </c>
      <c r="D25" s="168">
        <f>AVERAGE([6]Regressão_2!L6,[6]Regressão_2!L18)</f>
        <v>0.11383048587749908</v>
      </c>
      <c r="E25" s="169">
        <f>AVERAGE([6]Regressão_2!M6,[6]Regressão_2!M18)</f>
        <v>1.8942113517177921</v>
      </c>
      <c r="F25" s="170"/>
      <c r="G25" s="150" t="s">
        <v>26</v>
      </c>
      <c r="H25" s="168">
        <f>AVERAGE([6]Regressão_2!L30,[6]Regressão_2!L42,[6]Regressão_2!L54,[6]Regressão_2!L66)</f>
        <v>7.3824959555141373E-2</v>
      </c>
      <c r="I25" s="169">
        <f>AVERAGE([6]Regressão_2!M30,[6]Regressão_2!M42,[6]Regressão_2!M54,[6]Regressão_2!M66)</f>
        <v>1.2304077068686965</v>
      </c>
      <c r="L25" s="54"/>
    </row>
    <row r="26" spans="1:12" ht="15" customHeight="1" thickBot="1" x14ac:dyDescent="0.3">
      <c r="A26" s="54"/>
      <c r="B26" s="172"/>
      <c r="C26" s="161" t="s">
        <v>28</v>
      </c>
      <c r="D26" s="162">
        <f>AVERAGE([6]Regressão_2!L7,[6]Regressão_2!L19)</f>
        <v>0.13447860434823977</v>
      </c>
      <c r="E26" s="163">
        <f>AVERAGE([6]Regressão_2!M7,[6]Regressão_2!M19)</f>
        <v>2.1829808182152286</v>
      </c>
      <c r="F26" s="172"/>
      <c r="G26" s="161" t="s">
        <v>28</v>
      </c>
      <c r="H26" s="162">
        <f>AVERAGE([6]Regressão_2!L31,[6]Regressão_2!L43,[6]Regressão_2!L55,[6]Regressão_2!L67)</f>
        <v>8.142314364640095E-2</v>
      </c>
      <c r="I26" s="163">
        <f>AVERAGE([6]Regressão_2!M31,[6]Regressão_2!M43,[6]Regressão_2!M55,[6]Regressão_2!M67)</f>
        <v>1.3160410596945566</v>
      </c>
      <c r="L26" s="54"/>
    </row>
    <row r="27" spans="1:12" ht="15" customHeight="1" x14ac:dyDescent="0.25">
      <c r="A27" s="54"/>
      <c r="B27" s="183" t="s">
        <v>54</v>
      </c>
      <c r="C27" s="166" t="s">
        <v>30</v>
      </c>
      <c r="D27" s="157">
        <f>AVERAGE([6]Regressão_2!L8)</f>
        <v>0.16149714813706309</v>
      </c>
      <c r="E27" s="158">
        <f>AVERAGE([6]Regressão_2!M8)</f>
        <v>2.4422834042200905</v>
      </c>
      <c r="F27" s="159" t="s">
        <v>80</v>
      </c>
      <c r="G27" s="166" t="s">
        <v>30</v>
      </c>
      <c r="H27" s="157">
        <f>AVERAGE([6]Regressão_2!L20,[6]Regressão_2!L32,[6]Regressão_2!L44,[6]Regressão_2!L56,[6]Regressão_2!L68)</f>
        <v>0.10489129682499479</v>
      </c>
      <c r="I27" s="158">
        <f>AVERAGE([6]Regressão_2!M20,[6]Regressão_2!M32,[6]Regressão_2!M44,[6]Regressão_2!M56,[6]Regressão_2!M68)</f>
        <v>1.5534224708185682</v>
      </c>
      <c r="L27" s="54"/>
    </row>
    <row r="28" spans="1:12" x14ac:dyDescent="0.25">
      <c r="A28" s="54"/>
      <c r="B28" s="184"/>
      <c r="C28" s="150" t="s">
        <v>32</v>
      </c>
      <c r="D28" s="168">
        <f>AVERAGE([6]Regressão_2!L9)</f>
        <v>0.15300426922783111</v>
      </c>
      <c r="E28" s="169">
        <f>AVERAGE([6]Regressão_2!M9)</f>
        <v>2.6930139530807433</v>
      </c>
      <c r="F28" s="170"/>
      <c r="G28" s="150" t="s">
        <v>32</v>
      </c>
      <c r="H28" s="168">
        <f>AVERAGE([6]Regressão_2!L21,[6]Regressão_2!L33,[6]Regressão_2!L45,[6]Regressão_2!L57,[6]Regressão_2!L69)</f>
        <v>0.11329976324398545</v>
      </c>
      <c r="I28" s="169">
        <f>AVERAGE([6]Regressão_2!M21,[6]Regressão_2!M33,[6]Regressão_2!M45,[6]Regressão_2!M57,[6]Regressão_2!M69)</f>
        <v>1.970175663774016</v>
      </c>
      <c r="L28" s="54"/>
    </row>
    <row r="29" spans="1:12" x14ac:dyDescent="0.25">
      <c r="A29" s="54"/>
      <c r="B29" s="184"/>
      <c r="C29" s="150" t="s">
        <v>34</v>
      </c>
      <c r="D29" s="168">
        <f>AVERAGE([6]Regressão_2!L10)</f>
        <v>0.17862440517092013</v>
      </c>
      <c r="E29" s="169">
        <f>AVERAGE([6]Regressão_2!M10)</f>
        <v>2.9338863243036322</v>
      </c>
      <c r="F29" s="170"/>
      <c r="G29" s="150" t="s">
        <v>34</v>
      </c>
      <c r="H29" s="168">
        <f>AVERAGE([6]Regressão_2!L22,[6]Regressão_2!L34,[6]Regressão_2!L46,[6]Regressão_2!L58,[6]Regressão_2!L70)</f>
        <v>0.13224633143776149</v>
      </c>
      <c r="I29" s="169">
        <f>AVERAGE([6]Regressão_2!M22,[6]Regressão_2!M34,[6]Regressão_2!M46,[6]Regressão_2!M58,[6]Regressão_2!M70)</f>
        <v>2.1293795665138293</v>
      </c>
      <c r="L29" s="54"/>
    </row>
    <row r="30" spans="1:12" x14ac:dyDescent="0.25">
      <c r="A30" s="54"/>
      <c r="B30" s="184"/>
      <c r="C30" s="150" t="s">
        <v>36</v>
      </c>
      <c r="D30" s="168">
        <f>AVERAGE([6]Regressão_2!L11)</f>
        <v>0.20100174810277993</v>
      </c>
      <c r="E30" s="169">
        <f>AVERAGE([6]Regressão_2!M11)</f>
        <v>3.2898187007010682</v>
      </c>
      <c r="F30" s="170"/>
      <c r="G30" s="150" t="s">
        <v>36</v>
      </c>
      <c r="H30" s="168">
        <f>AVERAGE([6]Regressão_2!L23,[6]Regressão_2!L35,[6]Regressão_2!L47,[6]Regressão_2!L59,[6]Regressão_2!L71)</f>
        <v>0.12311039144819524</v>
      </c>
      <c r="I30" s="169">
        <f>AVERAGE([6]Regressão_2!M23,[6]Regressão_2!M35,[6]Regressão_2!M47,[6]Regressão_2!M59,[6]Regressão_2!M71)</f>
        <v>1.9619847729140645</v>
      </c>
      <c r="L30" s="54"/>
    </row>
    <row r="31" spans="1:12" x14ac:dyDescent="0.25">
      <c r="A31" s="54"/>
      <c r="B31" s="184"/>
      <c r="C31" s="150" t="s">
        <v>38</v>
      </c>
      <c r="D31" s="168">
        <f>AVERAGE([6]Regressão_2!L12)</f>
        <v>0.1425865434609358</v>
      </c>
      <c r="E31" s="169">
        <f>AVERAGE([6]Regressão_2!M12)</f>
        <v>1.7137273013230945</v>
      </c>
      <c r="F31" s="170"/>
      <c r="G31" s="150" t="s">
        <v>38</v>
      </c>
      <c r="H31" s="168">
        <f>AVERAGE([6]Regressão_2!L24,[6]Regressão_2!L36,[6]Regressão_2!L48,[6]Regressão_2!L60,[6]Regressão_2!L72)</f>
        <v>0.11511975083332544</v>
      </c>
      <c r="I31" s="169">
        <f>AVERAGE([6]Regressão_2!M24,[6]Regressão_2!M36,[6]Regressão_2!M48,[6]Regressão_2!M60,[6]Regressão_2!M72)</f>
        <v>1.3772236887453992</v>
      </c>
      <c r="L31" s="54"/>
    </row>
    <row r="32" spans="1:12" x14ac:dyDescent="0.25">
      <c r="A32" s="54"/>
      <c r="B32" s="184"/>
      <c r="C32" s="150" t="s">
        <v>40</v>
      </c>
      <c r="D32" s="168">
        <f>AVERAGE([6]Regressão_2!L13)</f>
        <v>0.18487939571272796</v>
      </c>
      <c r="E32" s="169">
        <f>AVERAGE([6]Regressão_2!M13)</f>
        <v>2.8170123055081393</v>
      </c>
      <c r="F32" s="170"/>
      <c r="G32" s="150" t="s">
        <v>40</v>
      </c>
      <c r="H32" s="168">
        <f>AVERAGE([6]Regressão_2!L25,[6]Regressão_2!L37,[6]Regressão_2!L49,[6]Regressão_2!L61,[6]Regressão_2!L73)</f>
        <v>0.12759711183520031</v>
      </c>
      <c r="I32" s="169">
        <f>AVERAGE([6]Regressão_2!M25,[6]Regressão_2!M37,[6]Regressão_2!M49,[6]Regressão_2!M61,[6]Regressão_2!M73)</f>
        <v>1.9442659453179409</v>
      </c>
    </row>
    <row r="33" spans="1:12" x14ac:dyDescent="0.25">
      <c r="A33" s="54"/>
      <c r="B33" s="184"/>
      <c r="C33" s="150" t="s">
        <v>42</v>
      </c>
      <c r="D33" s="168">
        <f>AVERAGE([6]Regressão_2!L14)</f>
        <v>0.15517530039207841</v>
      </c>
      <c r="E33" s="169">
        <f>AVERAGE([6]Regressão_2!M14)</f>
        <v>2.6772229581162228</v>
      </c>
      <c r="F33" s="170"/>
      <c r="G33" s="150" t="s">
        <v>42</v>
      </c>
      <c r="H33" s="168">
        <f>AVERAGE([6]Regressão_2!L26,[6]Regressão_2!L38,[6]Regressão_2!L50,[6]Regressão_2!L62,[6]Regressão_2!L74)</f>
        <v>0.11023022905142506</v>
      </c>
      <c r="I33" s="169">
        <f>AVERAGE([6]Regressão_2!M26,[6]Regressão_2!M38,[6]Regressão_2!M50,[6]Regressão_2!M62,[6]Regressão_2!M74)</f>
        <v>1.8767072689839956</v>
      </c>
    </row>
    <row r="34" spans="1:12" ht="15" customHeight="1" x14ac:dyDescent="0.25">
      <c r="A34" s="54"/>
      <c r="B34" s="184"/>
      <c r="C34" s="150" t="s">
        <v>44</v>
      </c>
      <c r="D34" s="168">
        <f>AVERAGE([6]Regressão_2!L15)</f>
        <v>0.12252008819602188</v>
      </c>
      <c r="E34" s="169">
        <f>AVERAGE([6]Regressão_2!M15)</f>
        <v>2.1226488763877809</v>
      </c>
      <c r="F34" s="170"/>
      <c r="G34" s="150" t="s">
        <v>44</v>
      </c>
      <c r="H34" s="168">
        <f>AVERAGE([6]Regressão_2!L27,[6]Regressão_2!L39,[6]Regressão_2!L51,[6]Regressão_2!L63,[6]Regressão_2!L75)</f>
        <v>8.5215464750889397E-2</v>
      </c>
      <c r="I34" s="169">
        <f>AVERAGE([6]Regressão_2!M27,[6]Regressão_2!M39,[6]Regressão_2!M51,[6]Regressão_2!M63,[6]Regressão_2!M75)</f>
        <v>1.4537829364331234</v>
      </c>
    </row>
    <row r="35" spans="1:12" ht="15.75" thickBot="1" x14ac:dyDescent="0.3">
      <c r="A35" s="54"/>
      <c r="B35" s="185"/>
      <c r="C35" s="161" t="s">
        <v>46</v>
      </c>
      <c r="D35" s="162">
        <f>AVERAGE([6]Regressão_2!L16)</f>
        <v>0.1164864087267969</v>
      </c>
      <c r="E35" s="163">
        <f>AVERAGE([6]Regressão_2!M16)</f>
        <v>1.9575588496709193</v>
      </c>
      <c r="F35" s="172"/>
      <c r="G35" s="161" t="s">
        <v>46</v>
      </c>
      <c r="H35" s="162">
        <f>AVERAGE([6]Regressão_2!L28,[6]Regressão_2!L40,[6]Regressão_2!L52,[6]Regressão_2!L64,[6]Regressão_2!L76)</f>
        <v>7.1803276918099984E-2</v>
      </c>
      <c r="I35" s="163">
        <f>AVERAGE([6]Regressão_2!M28,[6]Regressão_2!M40,[6]Regressão_2!M52,[6]Regressão_2!M64,[6]Regressão_2!M76)</f>
        <v>1.17723388647145</v>
      </c>
    </row>
    <row r="37" spans="1:12" ht="15.75" customHeight="1" thickBot="1" x14ac:dyDescent="0.3">
      <c r="A37" s="54"/>
      <c r="B37" s="145" t="s">
        <v>74</v>
      </c>
      <c r="C37" s="145"/>
      <c r="D37" s="145"/>
      <c r="E37" s="145"/>
      <c r="F37" s="145"/>
      <c r="G37" s="145"/>
      <c r="H37" s="145"/>
      <c r="I37" s="145"/>
    </row>
    <row r="38" spans="1:12" x14ac:dyDescent="0.25">
      <c r="A38" s="54"/>
      <c r="B38" s="146" t="s">
        <v>67</v>
      </c>
      <c r="C38" s="147"/>
      <c r="D38" s="147"/>
      <c r="E38" s="148"/>
      <c r="F38" s="146" t="s">
        <v>68</v>
      </c>
      <c r="G38" s="147"/>
      <c r="H38" s="147"/>
      <c r="I38" s="148"/>
    </row>
    <row r="39" spans="1:12" ht="18" thickBot="1" x14ac:dyDescent="0.3">
      <c r="A39" s="54"/>
      <c r="B39" s="173"/>
      <c r="C39" s="150" t="s">
        <v>4</v>
      </c>
      <c r="D39" s="151" t="s">
        <v>20</v>
      </c>
      <c r="E39" s="152" t="s">
        <v>21</v>
      </c>
      <c r="F39" s="153"/>
      <c r="G39" s="150" t="s">
        <v>4</v>
      </c>
      <c r="H39" s="151" t="s">
        <v>20</v>
      </c>
      <c r="I39" s="152" t="s">
        <v>21</v>
      </c>
    </row>
    <row r="40" spans="1:12" ht="15" customHeight="1" x14ac:dyDescent="0.25">
      <c r="A40" s="54"/>
      <c r="B40" s="159" t="s">
        <v>71</v>
      </c>
      <c r="C40" s="156" t="s">
        <v>24</v>
      </c>
      <c r="D40" s="157">
        <f>AVERAGE([6]Regressão_2!O5,[6]Regressão_2!O17)</f>
        <v>0.13243473957575688</v>
      </c>
      <c r="E40" s="158">
        <f>AVERAGE([6]Regressão_2!P5,[6]Regressão_2!P17)</f>
        <v>2.3246508620767314</v>
      </c>
      <c r="F40" s="159" t="s">
        <v>72</v>
      </c>
      <c r="G40" s="156" t="s">
        <v>24</v>
      </c>
      <c r="H40" s="157">
        <f>AVERAGE([6]Regressão_2!O29,[6]Regressão_2!O41,[6]Regressão_2!O53,[6]Regressão_2!O65)</f>
        <v>0.11461683987336993</v>
      </c>
      <c r="I40" s="158">
        <f>AVERAGE([6]Regressão_2!P29,[6]Regressão_2!P41,[6]Regressão_2!P53,[6]Regressão_2!P65)</f>
        <v>1.9692934607091064</v>
      </c>
    </row>
    <row r="41" spans="1:12" ht="15.75" customHeight="1" x14ac:dyDescent="0.25">
      <c r="A41" s="54"/>
      <c r="B41" s="170"/>
      <c r="C41" s="150" t="s">
        <v>26</v>
      </c>
      <c r="D41" s="168">
        <f>AVERAGE([6]Regressão_2!O6,[6]Regressão_2!O18)</f>
        <v>0.13674393143884001</v>
      </c>
      <c r="E41" s="169">
        <f>AVERAGE([6]Regressão_2!P6,[6]Regressão_2!P18)</f>
        <v>2.2638002022031611</v>
      </c>
      <c r="F41" s="170"/>
      <c r="G41" s="150" t="s">
        <v>26</v>
      </c>
      <c r="H41" s="168">
        <f>AVERAGE([6]Regressão_2!O30,[6]Regressão_2!O42,[6]Regressão_2!O54,[6]Regressão_2!O66)</f>
        <v>0.11455172644065861</v>
      </c>
      <c r="I41" s="169">
        <f>AVERAGE([6]Regressão_2!P30,[6]Regressão_2!P42,[6]Regressão_2!P54,[6]Regressão_2!P66)</f>
        <v>1.9223514855906143</v>
      </c>
    </row>
    <row r="42" spans="1:12" ht="15" customHeight="1" thickBot="1" x14ac:dyDescent="0.3">
      <c r="A42" s="54"/>
      <c r="B42" s="172"/>
      <c r="C42" s="161" t="s">
        <v>28</v>
      </c>
      <c r="D42" s="162">
        <f>AVERAGE([6]Regressão_2!O7,[6]Regressão_2!O19)</f>
        <v>9.5320190282739997E-2</v>
      </c>
      <c r="E42" s="163">
        <f>AVERAGE([6]Regressão_2!P7,[6]Regressão_2!P19)</f>
        <v>1.5473852877146221</v>
      </c>
      <c r="F42" s="172"/>
      <c r="G42" s="161" t="s">
        <v>28</v>
      </c>
      <c r="H42" s="162">
        <f>AVERAGE([6]Regressão_2!O31,[6]Regressão_2!O43,[6]Regressão_2!O55,[6]Regressão_2!O67)</f>
        <v>4.5641657240153587E-2</v>
      </c>
      <c r="I42" s="163">
        <f>AVERAGE([6]Regressão_2!P31,[6]Regressão_2!P43,[6]Regressão_2!P55,[6]Regressão_2!P67)</f>
        <v>0.74371839305987764</v>
      </c>
    </row>
    <row r="43" spans="1:12" x14ac:dyDescent="0.25">
      <c r="A43" s="54"/>
      <c r="B43" s="183" t="s">
        <v>54</v>
      </c>
      <c r="C43" s="166" t="s">
        <v>30</v>
      </c>
      <c r="D43" s="157">
        <f>AVERAGE([6]Regressão_2!O8)</f>
        <v>4.0117642436085905E-2</v>
      </c>
      <c r="E43" s="158">
        <f>AVERAGE([6]Regressão_2!P8)</f>
        <v>0.60668967513242711</v>
      </c>
      <c r="F43" s="159" t="s">
        <v>80</v>
      </c>
      <c r="G43" s="166" t="s">
        <v>30</v>
      </c>
      <c r="H43" s="157">
        <f>AVERAGE([6]Regressão_2!O20,[6]Regressão_2!O32,[6]Regressão_2!O44,[6]Regressão_2!O56,[6]Regressão_2!O68)</f>
        <v>1.0232321226766749E-2</v>
      </c>
      <c r="I43" s="158">
        <f>AVERAGE([6]Regressão_2!P20,[6]Regressão_2!P32,[6]Regressão_2!P44,[6]Regressão_2!P56,[6]Regressão_2!P68)</f>
        <v>0.15335572735397002</v>
      </c>
      <c r="L43" s="54"/>
    </row>
    <row r="44" spans="1:12" x14ac:dyDescent="0.25">
      <c r="A44" s="54"/>
      <c r="B44" s="184"/>
      <c r="C44" s="150" t="s">
        <v>32</v>
      </c>
      <c r="D44" s="168">
        <f>AVERAGE([6]Regressão_2!O9)</f>
        <v>0</v>
      </c>
      <c r="E44" s="169">
        <f>AVERAGE([6]Regressão_2!P9)</f>
        <v>0</v>
      </c>
      <c r="F44" s="170"/>
      <c r="G44" s="150" t="s">
        <v>32</v>
      </c>
      <c r="H44" s="168">
        <f>AVERAGE([6]Regressão_2!O21,[6]Regressão_2!O33,[6]Regressão_2!O45,[6]Regressão_2!O57,[6]Regressão_2!O69)</f>
        <v>6.9865456202884669E-4</v>
      </c>
      <c r="I44" s="169">
        <f>AVERAGE([6]Regressão_2!P21,[6]Regressão_2!P33,[6]Regressão_2!P45,[6]Regressão_2!P57,[6]Regressão_2!P69)</f>
        <v>1.1970217067728843E-2</v>
      </c>
      <c r="L44" s="54"/>
    </row>
    <row r="45" spans="1:12" x14ac:dyDescent="0.25">
      <c r="A45" s="54"/>
      <c r="B45" s="184"/>
      <c r="C45" s="150" t="s">
        <v>34</v>
      </c>
      <c r="D45" s="168">
        <f>AVERAGE([6]Regressão_2!O10)</f>
        <v>0</v>
      </c>
      <c r="E45" s="169">
        <f>AVERAGE([6]Regressão_2!P10)</f>
        <v>0</v>
      </c>
      <c r="F45" s="170"/>
      <c r="G45" s="150" t="s">
        <v>34</v>
      </c>
      <c r="H45" s="168">
        <f>AVERAGE([6]Regressão_2!O22,[6]Regressão_2!O34,[6]Regressão_2!O46,[6]Regressão_2!O58,[6]Regressão_2!O70)</f>
        <v>0</v>
      </c>
      <c r="I45" s="169">
        <f>AVERAGE([6]Regressão_2!P22,[6]Regressão_2!P34,[6]Regressão_2!P46,[6]Regressão_2!P58,[6]Regressão_2!P70)</f>
        <v>0</v>
      </c>
      <c r="L45" s="54"/>
    </row>
    <row r="46" spans="1:12" x14ac:dyDescent="0.25">
      <c r="A46" s="54"/>
      <c r="B46" s="184"/>
      <c r="C46" s="150" t="s">
        <v>36</v>
      </c>
      <c r="D46" s="168">
        <f>AVERAGE([6]Regressão_2!O11)</f>
        <v>6.0216362204023014E-7</v>
      </c>
      <c r="E46" s="169">
        <f>AVERAGE([6]Regressão_2!P11)</f>
        <v>9.8556811737620947E-6</v>
      </c>
      <c r="F46" s="170"/>
      <c r="G46" s="150" t="s">
        <v>36</v>
      </c>
      <c r="H46" s="168">
        <f>AVERAGE([6]Regressão_2!O23,[6]Regressão_2!O35,[6]Regressão_2!O47,[6]Regressão_2!O59,[6]Regressão_2!O71)</f>
        <v>0</v>
      </c>
      <c r="I46" s="169">
        <f>AVERAGE([6]Regressão_2!P23,[6]Regressão_2!P35,[6]Regressão_2!P47,[6]Regressão_2!P59,[6]Regressão_2!P71)</f>
        <v>0</v>
      </c>
      <c r="L46" s="54"/>
    </row>
    <row r="47" spans="1:12" x14ac:dyDescent="0.25">
      <c r="A47" s="54"/>
      <c r="B47" s="184"/>
      <c r="C47" s="150" t="s">
        <v>38</v>
      </c>
      <c r="D47" s="168">
        <f>AVERAGE([6]Regressão_2!O12)</f>
        <v>0</v>
      </c>
      <c r="E47" s="169">
        <f>AVERAGE([6]Regressão_2!P12)</f>
        <v>0</v>
      </c>
      <c r="F47" s="170"/>
      <c r="G47" s="150" t="s">
        <v>38</v>
      </c>
      <c r="H47" s="168">
        <f>AVERAGE([6]Regressão_2!O24,[6]Regressão_2!O36,[6]Regressão_2!O48,[6]Regressão_2!O60,[6]Regressão_2!O72)</f>
        <v>0</v>
      </c>
      <c r="I47" s="169">
        <f>AVERAGE([6]Regressão_2!P24,[6]Regressão_2!P36,[6]Regressão_2!P48,[6]Regressão_2!P60,[6]Regressão_2!P72)</f>
        <v>0</v>
      </c>
      <c r="L47" s="54"/>
    </row>
    <row r="48" spans="1:12" x14ac:dyDescent="0.25">
      <c r="A48" s="54"/>
      <c r="B48" s="184"/>
      <c r="C48" s="150" t="s">
        <v>40</v>
      </c>
      <c r="D48" s="168">
        <f>AVERAGE([6]Regressão_2!O13)</f>
        <v>0</v>
      </c>
      <c r="E48" s="169">
        <f>AVERAGE([6]Regressão_2!P13)</f>
        <v>0</v>
      </c>
      <c r="F48" s="170"/>
      <c r="G48" s="150" t="s">
        <v>40</v>
      </c>
      <c r="H48" s="168">
        <f>AVERAGE([6]Regressão_2!O25,[6]Regressão_2!O37,[6]Regressão_2!O49,[6]Regressão_2!O61,[6]Regressão_2!O73)</f>
        <v>0</v>
      </c>
      <c r="I48" s="169">
        <f>AVERAGE([6]Regressão_2!P25,[6]Regressão_2!P37,[6]Regressão_2!P49,[6]Regressão_2!P61,[6]Regressão_2!P73)</f>
        <v>0</v>
      </c>
      <c r="L48" s="54"/>
    </row>
    <row r="49" spans="1:12" x14ac:dyDescent="0.25">
      <c r="A49" s="54"/>
      <c r="B49" s="184"/>
      <c r="C49" s="150" t="s">
        <v>42</v>
      </c>
      <c r="D49" s="168">
        <f>AVERAGE([6]Regressão_2!O14)</f>
        <v>0</v>
      </c>
      <c r="E49" s="169">
        <f>AVERAGE([6]Regressão_2!P14)</f>
        <v>0</v>
      </c>
      <c r="F49" s="170"/>
      <c r="G49" s="150" t="s">
        <v>42</v>
      </c>
      <c r="H49" s="168">
        <f>AVERAGE([6]Regressão_2!O26,[6]Regressão_2!O38,[6]Regressão_2!O50,[6]Regressão_2!O62,[6]Regressão_2!O74)</f>
        <v>6.4714884609556671E-4</v>
      </c>
      <c r="I49" s="169">
        <f>AVERAGE([6]Regressão_2!P26,[6]Regressão_2!P38,[6]Regressão_2!P50,[6]Regressão_2!P62,[6]Regressão_2!P74)</f>
        <v>1.0710952534606804E-2</v>
      </c>
      <c r="L49" s="54"/>
    </row>
    <row r="50" spans="1:12" x14ac:dyDescent="0.25">
      <c r="A50" s="54"/>
      <c r="B50" s="184"/>
      <c r="C50" s="150" t="s">
        <v>44</v>
      </c>
      <c r="D50" s="168">
        <f>AVERAGE([6]Regressão_2!O15)</f>
        <v>4.4087476340144288E-2</v>
      </c>
      <c r="E50" s="169">
        <f>AVERAGE([6]Regressão_2!P15)</f>
        <v>0.76381133489274367</v>
      </c>
      <c r="F50" s="170"/>
      <c r="G50" s="150" t="s">
        <v>44</v>
      </c>
      <c r="H50" s="168">
        <f>AVERAGE([6]Regressão_2!O27,[6]Regressão_2!O39,[6]Regressão_2!O51,[6]Regressão_2!O63,[6]Regressão_2!O75)</f>
        <v>4.7705699135668536E-2</v>
      </c>
      <c r="I50" s="169">
        <f>AVERAGE([6]Regressão_2!P27,[6]Regressão_2!P39,[6]Regressão_2!P51,[6]Regressão_2!P63,[6]Regressão_2!P75)</f>
        <v>0.81767297137626949</v>
      </c>
      <c r="L50" s="54"/>
    </row>
    <row r="51" spans="1:12" ht="15.75" thickBot="1" x14ac:dyDescent="0.3">
      <c r="A51" s="54"/>
      <c r="B51" s="185"/>
      <c r="C51" s="161" t="s">
        <v>46</v>
      </c>
      <c r="D51" s="162">
        <f>AVERAGE([6]Regressão_2!O16)</f>
        <v>0.11818469673858885</v>
      </c>
      <c r="E51" s="163">
        <f>AVERAGE([6]Regressão_2!P16)</f>
        <v>1.9860986489754935</v>
      </c>
      <c r="F51" s="172"/>
      <c r="G51" s="161" t="s">
        <v>46</v>
      </c>
      <c r="H51" s="162">
        <f>AVERAGE([6]Regressão_2!O28,[6]Regressão_2!O40,[6]Regressão_2!O52,[6]Regressão_2!O64,[6]Regressão_2!O76)</f>
        <v>9.5667881449742503E-2</v>
      </c>
      <c r="I51" s="163">
        <f>AVERAGE([6]Regressão_2!P28,[6]Regressão_2!P40,[6]Regressão_2!P52,[6]Regressão_2!P64,[6]Regressão_2!P76)</f>
        <v>1.5678338871871642</v>
      </c>
      <c r="L51" s="54"/>
    </row>
    <row r="52" spans="1:12" x14ac:dyDescent="0.25">
      <c r="A52" s="54"/>
    </row>
    <row r="53" spans="1:12" ht="15.75" thickBot="1" x14ac:dyDescent="0.3">
      <c r="B53" s="145" t="s">
        <v>75</v>
      </c>
      <c r="C53" s="145"/>
      <c r="D53" s="145"/>
      <c r="E53" s="145"/>
      <c r="F53" s="145"/>
      <c r="G53" s="145"/>
      <c r="H53" s="145"/>
      <c r="I53" s="145"/>
    </row>
    <row r="54" spans="1:12" x14ac:dyDescent="0.25">
      <c r="B54" s="146" t="s">
        <v>67</v>
      </c>
      <c r="C54" s="147"/>
      <c r="D54" s="147"/>
      <c r="E54" s="148"/>
      <c r="F54" s="146" t="s">
        <v>68</v>
      </c>
      <c r="G54" s="147"/>
      <c r="H54" s="147"/>
      <c r="I54" s="148"/>
    </row>
    <row r="55" spans="1:12" ht="18" thickBot="1" x14ac:dyDescent="0.3">
      <c r="B55" s="173"/>
      <c r="C55" s="150" t="s">
        <v>4</v>
      </c>
      <c r="D55" s="151" t="s">
        <v>20</v>
      </c>
      <c r="E55" s="152" t="s">
        <v>21</v>
      </c>
      <c r="F55" s="153"/>
      <c r="G55" s="150" t="s">
        <v>4</v>
      </c>
      <c r="H55" s="151" t="s">
        <v>20</v>
      </c>
      <c r="I55" s="152" t="s">
        <v>21</v>
      </c>
    </row>
    <row r="56" spans="1:12" ht="15" customHeight="1" x14ac:dyDescent="0.25">
      <c r="B56" s="159" t="s">
        <v>71</v>
      </c>
      <c r="C56" s="156" t="s">
        <v>24</v>
      </c>
      <c r="D56" s="157">
        <f>AVERAGE([6]Regressão_2!I5,[6]Regressão_2!I17)</f>
        <v>0.1559175428394195</v>
      </c>
      <c r="E56" s="158">
        <f>AVERAGE([6]Regressão_2!J5,[6]Regressão_2!J17)</f>
        <v>2.7290357720726668</v>
      </c>
      <c r="F56" s="159" t="s">
        <v>72</v>
      </c>
      <c r="G56" s="156" t="s">
        <v>24</v>
      </c>
      <c r="H56" s="157">
        <f>AVERAGE([6]Regressão_2!I29,[6]Regressão_2!I41,[6]Regressão_2!I53,[6]Regressão_2!I65)</f>
        <v>0.1415560921133539</v>
      </c>
      <c r="I56" s="158">
        <f>AVERAGE([6]Regressão_2!J29,[6]Regressão_2!J41,[6]Regressão_2!J53,[6]Regressão_2!J65)</f>
        <v>2.417536882483601</v>
      </c>
    </row>
    <row r="57" spans="1:12" x14ac:dyDescent="0.25">
      <c r="B57" s="170"/>
      <c r="C57" s="181" t="s">
        <v>26</v>
      </c>
      <c r="D57" s="168">
        <f>AVERAGE([6]Regressão_2!I6,[6]Regressão_2!I18)</f>
        <v>0.14895979985864338</v>
      </c>
      <c r="E57" s="169">
        <f>AVERAGE([6]Regressão_2!J6,[6]Regressão_2!J18)</f>
        <v>2.4749049836789734</v>
      </c>
      <c r="F57" s="170"/>
      <c r="G57" s="181" t="s">
        <v>26</v>
      </c>
      <c r="H57" s="168">
        <f>AVERAGE([6]Regressão_2!I30,[6]Regressão_2!I42,[6]Regressão_2!I54,[6]Regressão_2!I66)</f>
        <v>0.15456883423578321</v>
      </c>
      <c r="I57" s="169">
        <f>AVERAGE([6]Regressão_2!J30,[6]Regressão_2!J42,[6]Regressão_2!J54,[6]Regressão_2!J66)</f>
        <v>2.5710213055857549</v>
      </c>
    </row>
    <row r="58" spans="1:12" ht="15" customHeight="1" thickBot="1" x14ac:dyDescent="0.3">
      <c r="B58" s="172"/>
      <c r="C58" s="182" t="s">
        <v>28</v>
      </c>
      <c r="D58" s="162">
        <f>AVERAGE([6]Regressão_2!I7,[6]Regressão_2!I19)</f>
        <v>0.16644131438919868</v>
      </c>
      <c r="E58" s="163">
        <f>AVERAGE([6]Regressão_2!J7,[6]Regressão_2!J19)</f>
        <v>2.7019010358812325</v>
      </c>
      <c r="F58" s="172"/>
      <c r="G58" s="182" t="s">
        <v>28</v>
      </c>
      <c r="H58" s="162">
        <f>AVERAGE([6]Regressão_2!I31,[6]Regressão_2!I43,[6]Regressão_2!I55,[6]Regressão_2!I67)</f>
        <v>0.15765675251393707</v>
      </c>
      <c r="I58" s="163">
        <f>AVERAGE([6]Regressão_2!J31,[6]Regressão_2!J43,[6]Regressão_2!J55,[6]Regressão_2!J67)</f>
        <v>2.5392171229558498</v>
      </c>
    </row>
    <row r="59" spans="1:12" x14ac:dyDescent="0.25">
      <c r="B59" s="183" t="s">
        <v>54</v>
      </c>
      <c r="C59" s="156" t="s">
        <v>30</v>
      </c>
      <c r="D59" s="157">
        <f>AVERAGE([6]Regressão_2!I8)</f>
        <v>0.20815696343648432</v>
      </c>
      <c r="E59" s="158">
        <f>AVERAGE([6]Regressão_2!J8)</f>
        <v>3.1479088215372806</v>
      </c>
      <c r="F59" s="159" t="s">
        <v>80</v>
      </c>
      <c r="G59" s="156" t="s">
        <v>30</v>
      </c>
      <c r="H59" s="157">
        <f>AVERAGE([6]Regressão_2!I20,[6]Regressão_2!I32,[6]Regressão_2!I44,[6]Regressão_2!I56,[6]Regressão_2!I68)</f>
        <v>0.17623904601787674</v>
      </c>
      <c r="I59" s="158">
        <f>AVERAGE([6]Regressão_2!J20,[6]Regressão_2!J32,[6]Regressão_2!J44,[6]Regressão_2!J56,[6]Regressão_2!J68)</f>
        <v>2.6137316274580327</v>
      </c>
    </row>
    <row r="60" spans="1:12" x14ac:dyDescent="0.25">
      <c r="B60" s="184"/>
      <c r="C60" s="181" t="s">
        <v>32</v>
      </c>
      <c r="D60" s="168">
        <f>AVERAGE([6]Regressão_2!I9)</f>
        <v>0.18520876555415719</v>
      </c>
      <c r="E60" s="169">
        <f>AVERAGE([6]Regressão_2!J9)</f>
        <v>3.2598423062791273</v>
      </c>
      <c r="F60" s="170"/>
      <c r="G60" s="181" t="s">
        <v>32</v>
      </c>
      <c r="H60" s="168">
        <f>AVERAGE([6]Regressão_2!I21,[6]Regressão_2!I33,[6]Regressão_2!I45,[6]Regressão_2!I57,[6]Regressão_2!I69)</f>
        <v>0.15485185951388622</v>
      </c>
      <c r="I60" s="169">
        <f>AVERAGE([6]Regressão_2!J21,[6]Regressão_2!J33,[6]Regressão_2!J45,[6]Regressão_2!J57,[6]Regressão_2!J69)</f>
        <v>2.6916405708050624</v>
      </c>
    </row>
    <row r="61" spans="1:12" x14ac:dyDescent="0.25">
      <c r="B61" s="184"/>
      <c r="C61" s="181" t="s">
        <v>34</v>
      </c>
      <c r="D61" s="168">
        <f>AVERAGE([6]Regressão_2!I10)</f>
        <v>0.19220887771672224</v>
      </c>
      <c r="E61" s="169">
        <f>AVERAGE([6]Regressão_2!J10)</f>
        <v>3.1570098005546554</v>
      </c>
      <c r="F61" s="170"/>
      <c r="G61" s="181" t="s">
        <v>34</v>
      </c>
      <c r="H61" s="168">
        <f>AVERAGE([6]Regressão_2!I22,[6]Regressão_2!I34,[6]Regressão_2!I46,[6]Regressão_2!I58,[6]Regressão_2!I70)</f>
        <v>0.14666709101330277</v>
      </c>
      <c r="I61" s="169">
        <f>AVERAGE([6]Regressão_2!J22,[6]Regressão_2!J34,[6]Regressão_2!J46,[6]Regressão_2!J58,[6]Regressão_2!J70)</f>
        <v>2.3549859090862202</v>
      </c>
    </row>
    <row r="62" spans="1:12" x14ac:dyDescent="0.25">
      <c r="B62" s="184"/>
      <c r="C62" s="181" t="s">
        <v>36</v>
      </c>
      <c r="D62" s="168">
        <f>AVERAGE([6]Regressão_2!I11)</f>
        <v>0.18455190102283447</v>
      </c>
      <c r="E62" s="169">
        <f>AVERAGE([6]Regressão_2!J11)</f>
        <v>3.0205821639143071</v>
      </c>
      <c r="F62" s="170"/>
      <c r="G62" s="181" t="s">
        <v>36</v>
      </c>
      <c r="H62" s="168">
        <f>AVERAGE([6]Regressão_2!I23,[6]Regressão_2!I35,[6]Regressão_2!I47,[6]Regressão_2!I59,[6]Regressão_2!I71)</f>
        <v>0.14046907598136243</v>
      </c>
      <c r="I62" s="169">
        <f>AVERAGE([6]Regressão_2!J23,[6]Regressão_2!J35,[6]Regressão_2!J47,[6]Regressão_2!J59,[6]Regressão_2!J71)</f>
        <v>2.2305560203871995</v>
      </c>
    </row>
    <row r="63" spans="1:12" x14ac:dyDescent="0.25">
      <c r="B63" s="184"/>
      <c r="C63" s="181" t="s">
        <v>38</v>
      </c>
      <c r="D63" s="168">
        <f>AVERAGE([6]Regressão_2!I12)</f>
        <v>0.17008877468330344</v>
      </c>
      <c r="E63" s="169">
        <f>AVERAGE([6]Regressão_2!J12)</f>
        <v>2.0442726904536217</v>
      </c>
      <c r="F63" s="170"/>
      <c r="G63" s="181" t="s">
        <v>38</v>
      </c>
      <c r="H63" s="168">
        <f>AVERAGE([6]Regressão_2!I24,[6]Regressão_2!I36,[6]Regressão_2!I48,[6]Regressão_2!I60,[6]Regressão_2!I72)</f>
        <v>0.15035146691188755</v>
      </c>
      <c r="I63" s="169">
        <f>AVERAGE([6]Regressão_2!J24,[6]Regressão_2!J36,[6]Regressão_2!J48,[6]Regressão_2!J60,[6]Regressão_2!J72)</f>
        <v>1.8020288286513793</v>
      </c>
    </row>
    <row r="64" spans="1:12" x14ac:dyDescent="0.25">
      <c r="B64" s="184"/>
      <c r="C64" s="181" t="s">
        <v>40</v>
      </c>
      <c r="D64" s="168">
        <f>AVERAGE([6]Regressão_2!I13)</f>
        <v>0.18804022712137528</v>
      </c>
      <c r="E64" s="169">
        <f>AVERAGE([6]Regressão_2!J13)</f>
        <v>2.8651739783623258</v>
      </c>
      <c r="F64" s="170"/>
      <c r="G64" s="181" t="s">
        <v>40</v>
      </c>
      <c r="H64" s="168">
        <f>AVERAGE([6]Regressão_2!I25,[6]Regressão_2!I37,[6]Regressão_2!I49,[6]Regressão_2!I61,[6]Regressão_2!I73)</f>
        <v>0.16073118401301115</v>
      </c>
      <c r="I64" s="169">
        <f>AVERAGE([6]Regressão_2!J25,[6]Regressão_2!J37,[6]Regressão_2!J49,[6]Regressão_2!J61,[6]Regressão_2!J73)</f>
        <v>2.4481977831229864</v>
      </c>
    </row>
    <row r="65" spans="2:9" x14ac:dyDescent="0.25">
      <c r="B65" s="184"/>
      <c r="C65" s="181" t="s">
        <v>42</v>
      </c>
      <c r="D65" s="168">
        <f>AVERAGE([6]Regressão_2!I14)</f>
        <v>0.17091055866587462</v>
      </c>
      <c r="E65" s="169">
        <f>AVERAGE([6]Regressão_2!J14)</f>
        <v>2.9487016960084937</v>
      </c>
      <c r="F65" s="170"/>
      <c r="G65" s="181" t="s">
        <v>42</v>
      </c>
      <c r="H65" s="168">
        <f>AVERAGE([6]Regressão_2!I26,[6]Regressão_2!I38,[6]Regressão_2!I50,[6]Regressão_2!I62,[6]Regressão_2!I74)</f>
        <v>0.13802361543342062</v>
      </c>
      <c r="I65" s="169">
        <f>AVERAGE([6]Regressão_2!J26,[6]Regressão_2!J38,[6]Regressão_2!J50,[6]Regressão_2!J62,[6]Regressão_2!J74)</f>
        <v>2.3443445996389771</v>
      </c>
    </row>
    <row r="66" spans="2:9" x14ac:dyDescent="0.25">
      <c r="B66" s="184"/>
      <c r="C66" s="181" t="s">
        <v>44</v>
      </c>
      <c r="D66" s="168">
        <f>AVERAGE([6]Regressão_2!I15)</f>
        <v>0.14325154615270005</v>
      </c>
      <c r="E66" s="169">
        <f>AVERAGE([6]Regressão_2!J15)</f>
        <v>2.4818194139343932</v>
      </c>
      <c r="F66" s="170"/>
      <c r="G66" s="181" t="s">
        <v>44</v>
      </c>
      <c r="H66" s="168">
        <f>AVERAGE([6]Regressão_2!I27,[6]Regressão_2!I39,[6]Regressão_2!I51,[6]Regressão_2!I63,[6]Regressão_2!I75)</f>
        <v>0.12649535933271711</v>
      </c>
      <c r="I66" s="169">
        <f>AVERAGE([6]Regressão_2!J27,[6]Regressão_2!J39,[6]Regressão_2!J51,[6]Regressão_2!J63,[6]Regressão_2!J75)</f>
        <v>2.1619499283743311</v>
      </c>
    </row>
    <row r="67" spans="2:9" ht="15.75" thickBot="1" x14ac:dyDescent="0.3">
      <c r="B67" s="185"/>
      <c r="C67" s="182" t="s">
        <v>46</v>
      </c>
      <c r="D67" s="162">
        <f>AVERAGE([6]Regressão_2!I16)</f>
        <v>0.15030691123949871</v>
      </c>
      <c r="E67" s="163">
        <f>AVERAGE([6]Regressão_2!J16)</f>
        <v>2.5259137738005948</v>
      </c>
      <c r="F67" s="172"/>
      <c r="G67" s="182" t="s">
        <v>46</v>
      </c>
      <c r="H67" s="162">
        <f>AVERAGE([6]Regressão_2!I28,[6]Regressão_2!I40,[6]Regressão_2!I52,[6]Regressão_2!I64,[6]Regressão_2!I76)</f>
        <v>0.13658322559720948</v>
      </c>
      <c r="I67" s="163">
        <f>AVERAGE([6]Regressão_2!J28,[6]Regressão_2!J40,[6]Regressão_2!J52,[6]Regressão_2!J64,[6]Regressão_2!J76)</f>
        <v>2.2333636267946479</v>
      </c>
    </row>
    <row r="68" spans="2:9" x14ac:dyDescent="0.25">
      <c r="D68" s="54"/>
    </row>
  </sheetData>
  <sheetProtection password="A926" sheet="1" formatCells="0" formatColumns="0" formatRows="0" insertColumns="0" insertRows="0" insertHyperlinks="0" deleteColumns="0" deleteRows="0" sort="0" autoFilter="0" pivotTables="0"/>
  <mergeCells count="31">
    <mergeCell ref="X1:AE2"/>
    <mergeCell ref="B4:I4"/>
    <mergeCell ref="B5:I5"/>
    <mergeCell ref="B6:E6"/>
    <mergeCell ref="F6:I6"/>
    <mergeCell ref="M1:T2"/>
    <mergeCell ref="B38:E38"/>
    <mergeCell ref="F38:I38"/>
    <mergeCell ref="B8:B10"/>
    <mergeCell ref="F8:F10"/>
    <mergeCell ref="B11:B19"/>
    <mergeCell ref="F11:F19"/>
    <mergeCell ref="B21:I21"/>
    <mergeCell ref="B22:E22"/>
    <mergeCell ref="F22:I22"/>
    <mergeCell ref="B24:B26"/>
    <mergeCell ref="F24:F26"/>
    <mergeCell ref="B27:B35"/>
    <mergeCell ref="F27:F35"/>
    <mergeCell ref="B37:I37"/>
    <mergeCell ref="B56:B58"/>
    <mergeCell ref="F56:F58"/>
    <mergeCell ref="B59:B67"/>
    <mergeCell ref="F59:F67"/>
    <mergeCell ref="B40:B42"/>
    <mergeCell ref="F40:F42"/>
    <mergeCell ref="B43:B51"/>
    <mergeCell ref="F43:F51"/>
    <mergeCell ref="B53:I53"/>
    <mergeCell ref="B54:E54"/>
    <mergeCell ref="F54:I54"/>
  </mergeCells>
  <pageMargins left="0.7" right="0.7" top="0.75" bottom="0.75" header="0.3" footer="0.3"/>
  <pageSetup paperSize="9" scale="92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1</vt:i4>
      </vt:variant>
    </vt:vector>
  </HeadingPairs>
  <TitlesOfParts>
    <vt:vector size="6" baseType="lpstr">
      <vt:lpstr>Mensais 07-12 MOD's</vt:lpstr>
      <vt:lpstr>Mod_2</vt:lpstr>
      <vt:lpstr>FimOcup.Foyer_2</vt:lpstr>
      <vt:lpstr>Chillers_2</vt:lpstr>
      <vt:lpstr>FimOcup.BB_2</vt:lpstr>
      <vt:lpstr>Mod_2!Área_de_Impressão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Nuno</dc:creator>
  <cp:lastModifiedBy>Nuno</cp:lastModifiedBy>
  <dcterms:created xsi:type="dcterms:W3CDTF">2014-03-05T03:18:04Z</dcterms:created>
  <dcterms:modified xsi:type="dcterms:W3CDTF">2014-05-06T23:02:10Z</dcterms:modified>
</cp:coreProperties>
</file>