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A926" lockStructure="1"/>
  <bookViews>
    <workbookView xWindow="480" yWindow="60" windowWidth="18195" windowHeight="8505" activeTab="1"/>
  </bookViews>
  <sheets>
    <sheet name="Mensais 07-12 MOD's" sheetId="1" r:id="rId1"/>
    <sheet name="Mod_1" sheetId="2" r:id="rId2"/>
    <sheet name="Chillers_1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</externalReferences>
  <definedNames>
    <definedName name="_xlnm.Print_Area" localSheetId="2">Chillers_1!#REF!</definedName>
    <definedName name="_xlnm.Print_Area" localSheetId="1">Mod_1!$AY$22:$BL$85</definedName>
  </definedNames>
  <calcPr calcId="145621"/>
</workbook>
</file>

<file path=xl/calcChain.xml><?xml version="1.0" encoding="utf-8"?>
<calcChain xmlns="http://schemas.openxmlformats.org/spreadsheetml/2006/main">
  <c r="J6" i="1" l="1"/>
  <c r="E76" i="2" l="1"/>
  <c r="D76" i="2"/>
  <c r="E75" i="2"/>
  <c r="D75" i="2"/>
  <c r="E74" i="2"/>
  <c r="D74" i="2"/>
  <c r="E73" i="2"/>
  <c r="D73" i="2"/>
  <c r="E72" i="2"/>
  <c r="D72" i="2"/>
  <c r="E71" i="2"/>
  <c r="D71" i="2"/>
  <c r="E70" i="2"/>
  <c r="D70" i="2"/>
  <c r="E69" i="2"/>
  <c r="D69" i="2"/>
  <c r="E68" i="2"/>
  <c r="D68" i="2"/>
  <c r="E67" i="2"/>
  <c r="AW67" i="2" s="1"/>
  <c r="D67" i="2"/>
  <c r="E66" i="2"/>
  <c r="AW66" i="2" s="1"/>
  <c r="D66" i="2"/>
  <c r="E65" i="2"/>
  <c r="AW65" i="2" s="1"/>
  <c r="D65" i="2"/>
  <c r="E64" i="2"/>
  <c r="D64" i="2"/>
  <c r="E63" i="2"/>
  <c r="D63" i="2"/>
  <c r="E62" i="2"/>
  <c r="D62" i="2"/>
  <c r="E61" i="2"/>
  <c r="D61" i="2"/>
  <c r="E60" i="2"/>
  <c r="D60" i="2"/>
  <c r="E59" i="2"/>
  <c r="D59" i="2"/>
  <c r="E58" i="2"/>
  <c r="D58" i="2"/>
  <c r="E57" i="2"/>
  <c r="D57" i="2"/>
  <c r="E56" i="2"/>
  <c r="D56" i="2"/>
  <c r="E55" i="2"/>
  <c r="D55" i="2"/>
  <c r="E54" i="2"/>
  <c r="AW54" i="2" s="1"/>
  <c r="D54" i="2"/>
  <c r="E53" i="2"/>
  <c r="AW53" i="2" s="1"/>
  <c r="D53" i="2"/>
  <c r="E52" i="2"/>
  <c r="D52" i="2"/>
  <c r="E51" i="2"/>
  <c r="D51" i="2"/>
  <c r="E50" i="2"/>
  <c r="D50" i="2"/>
  <c r="E49" i="2"/>
  <c r="D49" i="2"/>
  <c r="E48" i="2"/>
  <c r="D48" i="2"/>
  <c r="E47" i="2"/>
  <c r="D47" i="2"/>
  <c r="E46" i="2"/>
  <c r="D46" i="2"/>
  <c r="E45" i="2"/>
  <c r="D45" i="2"/>
  <c r="E44" i="2"/>
  <c r="D44" i="2"/>
  <c r="E43" i="2"/>
  <c r="D43" i="2"/>
  <c r="E42" i="2"/>
  <c r="D42" i="2"/>
  <c r="E41" i="2"/>
  <c r="AW41" i="2" s="1"/>
  <c r="D41" i="2"/>
  <c r="E40" i="2"/>
  <c r="D40" i="2"/>
  <c r="E39" i="2"/>
  <c r="D39" i="2"/>
  <c r="E38" i="2"/>
  <c r="D38" i="2"/>
  <c r="E37" i="2"/>
  <c r="D37" i="2"/>
  <c r="E36" i="2"/>
  <c r="D36" i="2"/>
  <c r="E35" i="2"/>
  <c r="D35" i="2"/>
  <c r="E34" i="2"/>
  <c r="D34" i="2"/>
  <c r="E33" i="2"/>
  <c r="D33" i="2"/>
  <c r="E32" i="2"/>
  <c r="D32" i="2"/>
  <c r="E31" i="2"/>
  <c r="D31" i="2"/>
  <c r="E30" i="2"/>
  <c r="D30" i="2"/>
  <c r="BK29" i="2"/>
  <c r="E29" i="2"/>
  <c r="AW29" i="2" s="1"/>
  <c r="D29" i="2"/>
  <c r="E28" i="2"/>
  <c r="D28" i="2"/>
  <c r="E27" i="2"/>
  <c r="D27" i="2"/>
  <c r="E26" i="2"/>
  <c r="D26" i="2"/>
  <c r="E25" i="2"/>
  <c r="D25" i="2"/>
  <c r="E24" i="2"/>
  <c r="D24" i="2"/>
  <c r="E23" i="2"/>
  <c r="D23" i="2"/>
  <c r="E22" i="2"/>
  <c r="D22" i="2"/>
  <c r="E21" i="2"/>
  <c r="D21" i="2"/>
  <c r="E20" i="2"/>
  <c r="D20" i="2"/>
  <c r="E19" i="2"/>
  <c r="D19" i="2"/>
  <c r="E18" i="2"/>
  <c r="D18" i="2"/>
  <c r="E17" i="2"/>
  <c r="D17" i="2"/>
  <c r="E16" i="2"/>
  <c r="D16" i="2"/>
  <c r="E15" i="2"/>
  <c r="D15" i="2"/>
  <c r="E14" i="2"/>
  <c r="D14" i="2"/>
  <c r="E13" i="2"/>
  <c r="D13" i="2"/>
  <c r="E12" i="2"/>
  <c r="D12" i="2"/>
  <c r="E11" i="2"/>
  <c r="D11" i="2"/>
  <c r="AJ10" i="2"/>
  <c r="E10" i="2"/>
  <c r="D10" i="2"/>
  <c r="AJ9" i="2"/>
  <c r="E9" i="2"/>
  <c r="D9" i="2"/>
  <c r="AJ8" i="2"/>
  <c r="E8" i="2"/>
  <c r="D8" i="2"/>
  <c r="AJ7" i="2"/>
  <c r="E7" i="2"/>
  <c r="D7" i="2"/>
  <c r="AJ6" i="2"/>
  <c r="F6" i="2"/>
  <c r="E6" i="2"/>
  <c r="AJ5" i="2" s="1"/>
  <c r="D6" i="2"/>
  <c r="G6" i="2" s="1"/>
  <c r="AW5" i="2"/>
  <c r="G5" i="2"/>
  <c r="O66" i="1"/>
  <c r="N66" i="1"/>
  <c r="M66" i="1"/>
  <c r="L66" i="1"/>
  <c r="K66" i="1"/>
  <c r="J66" i="1"/>
  <c r="I66" i="1"/>
  <c r="H66" i="1"/>
  <c r="G66" i="1"/>
  <c r="F66" i="1"/>
  <c r="E66" i="1"/>
  <c r="D66" i="1"/>
  <c r="O65" i="1"/>
  <c r="N65" i="1"/>
  <c r="M65" i="1"/>
  <c r="L65" i="1"/>
  <c r="K65" i="1"/>
  <c r="J65" i="1"/>
  <c r="I65" i="1"/>
  <c r="H65" i="1"/>
  <c r="G65" i="1"/>
  <c r="F65" i="1"/>
  <c r="E65" i="1"/>
  <c r="D65" i="1"/>
  <c r="O64" i="1"/>
  <c r="N64" i="1"/>
  <c r="M64" i="1"/>
  <c r="L64" i="1"/>
  <c r="K64" i="1"/>
  <c r="J64" i="1"/>
  <c r="I64" i="1"/>
  <c r="H64" i="1"/>
  <c r="G64" i="1"/>
  <c r="F64" i="1"/>
  <c r="E64" i="1"/>
  <c r="D64" i="1"/>
  <c r="O63" i="1"/>
  <c r="N63" i="1"/>
  <c r="M63" i="1"/>
  <c r="L63" i="1"/>
  <c r="K63" i="1"/>
  <c r="J63" i="1"/>
  <c r="I63" i="1"/>
  <c r="H63" i="1"/>
  <c r="G63" i="1"/>
  <c r="F63" i="1"/>
  <c r="E63" i="1"/>
  <c r="D63" i="1"/>
  <c r="O62" i="1"/>
  <c r="N62" i="1"/>
  <c r="M62" i="1"/>
  <c r="L62" i="1"/>
  <c r="K62" i="1"/>
  <c r="J62" i="1"/>
  <c r="I62" i="1"/>
  <c r="H62" i="1"/>
  <c r="G62" i="1"/>
  <c r="F62" i="1"/>
  <c r="E62" i="1"/>
  <c r="D62" i="1"/>
  <c r="O61" i="1"/>
  <c r="N61" i="1"/>
  <c r="M61" i="1"/>
  <c r="L61" i="1"/>
  <c r="K61" i="1"/>
  <c r="J61" i="1"/>
  <c r="I61" i="1"/>
  <c r="H61" i="1"/>
  <c r="G61" i="1"/>
  <c r="F61" i="1"/>
  <c r="E61" i="1"/>
  <c r="D61" i="1"/>
  <c r="O60" i="1"/>
  <c r="N60" i="1"/>
  <c r="M60" i="1"/>
  <c r="L60" i="1"/>
  <c r="K60" i="1"/>
  <c r="J60" i="1"/>
  <c r="I60" i="1"/>
  <c r="H60" i="1"/>
  <c r="G60" i="1"/>
  <c r="F60" i="1"/>
  <c r="E60" i="1"/>
  <c r="D60" i="1"/>
  <c r="O59" i="1"/>
  <c r="N59" i="1"/>
  <c r="M59" i="1"/>
  <c r="L59" i="1"/>
  <c r="K59" i="1"/>
  <c r="J59" i="1"/>
  <c r="I59" i="1"/>
  <c r="H59" i="1"/>
  <c r="G59" i="1"/>
  <c r="F59" i="1"/>
  <c r="E59" i="1"/>
  <c r="D59" i="1"/>
  <c r="O58" i="1"/>
  <c r="N58" i="1"/>
  <c r="M58" i="1"/>
  <c r="L58" i="1"/>
  <c r="K58" i="1"/>
  <c r="J58" i="1"/>
  <c r="I58" i="1"/>
  <c r="H58" i="1"/>
  <c r="G58" i="1"/>
  <c r="F58" i="1"/>
  <c r="E58" i="1"/>
  <c r="D58" i="1"/>
  <c r="O57" i="1"/>
  <c r="N57" i="1"/>
  <c r="M57" i="1"/>
  <c r="L57" i="1"/>
  <c r="K57" i="1"/>
  <c r="J57" i="1"/>
  <c r="I57" i="1"/>
  <c r="H57" i="1"/>
  <c r="G57" i="1"/>
  <c r="F57" i="1"/>
  <c r="E57" i="1"/>
  <c r="D57" i="1"/>
  <c r="O56" i="1"/>
  <c r="N56" i="1"/>
  <c r="M56" i="1"/>
  <c r="L56" i="1"/>
  <c r="K56" i="1"/>
  <c r="J56" i="1"/>
  <c r="I56" i="1"/>
  <c r="H56" i="1"/>
  <c r="G56" i="1"/>
  <c r="F56" i="1"/>
  <c r="E56" i="1"/>
  <c r="D56" i="1"/>
  <c r="O55" i="1"/>
  <c r="N55" i="1"/>
  <c r="M55" i="1"/>
  <c r="L55" i="1"/>
  <c r="K55" i="1"/>
  <c r="J55" i="1"/>
  <c r="I55" i="1"/>
  <c r="H55" i="1"/>
  <c r="G55" i="1"/>
  <c r="F55" i="1"/>
  <c r="E55" i="1"/>
  <c r="D55" i="1"/>
  <c r="O54" i="1"/>
  <c r="N54" i="1"/>
  <c r="M54" i="1"/>
  <c r="L54" i="1"/>
  <c r="K54" i="1"/>
  <c r="J54" i="1"/>
  <c r="I54" i="1"/>
  <c r="H54" i="1"/>
  <c r="G54" i="1"/>
  <c r="F54" i="1"/>
  <c r="E54" i="1"/>
  <c r="D54" i="1"/>
  <c r="O53" i="1"/>
  <c r="N53" i="1"/>
  <c r="M53" i="1"/>
  <c r="L53" i="1"/>
  <c r="K53" i="1"/>
  <c r="J53" i="1"/>
  <c r="I53" i="1"/>
  <c r="H53" i="1"/>
  <c r="G53" i="1"/>
  <c r="F53" i="1"/>
  <c r="E53" i="1"/>
  <c r="D53" i="1"/>
  <c r="O52" i="1"/>
  <c r="N52" i="1"/>
  <c r="M52" i="1"/>
  <c r="L52" i="1"/>
  <c r="K52" i="1"/>
  <c r="J52" i="1"/>
  <c r="I52" i="1"/>
  <c r="H52" i="1"/>
  <c r="G52" i="1"/>
  <c r="F52" i="1"/>
  <c r="E52" i="1"/>
  <c r="D52" i="1"/>
  <c r="O51" i="1"/>
  <c r="N51" i="1"/>
  <c r="M51" i="1"/>
  <c r="L51" i="1"/>
  <c r="K51" i="1"/>
  <c r="J51" i="1"/>
  <c r="I51" i="1"/>
  <c r="H51" i="1"/>
  <c r="G51" i="1"/>
  <c r="F51" i="1"/>
  <c r="E51" i="1"/>
  <c r="D51" i="1"/>
  <c r="O50" i="1"/>
  <c r="N50" i="1"/>
  <c r="M50" i="1"/>
  <c r="L50" i="1"/>
  <c r="K50" i="1"/>
  <c r="J50" i="1"/>
  <c r="I50" i="1"/>
  <c r="H50" i="1"/>
  <c r="G50" i="1"/>
  <c r="F50" i="1"/>
  <c r="E50" i="1"/>
  <c r="D50" i="1"/>
  <c r="O49" i="1"/>
  <c r="N49" i="1"/>
  <c r="M49" i="1"/>
  <c r="L49" i="1"/>
  <c r="K49" i="1"/>
  <c r="J49" i="1"/>
  <c r="I49" i="1"/>
  <c r="H49" i="1"/>
  <c r="G49" i="1"/>
  <c r="F49" i="1"/>
  <c r="E49" i="1"/>
  <c r="D49" i="1"/>
  <c r="O44" i="1"/>
  <c r="N44" i="1"/>
  <c r="M44" i="1"/>
  <c r="L44" i="1"/>
  <c r="K44" i="1"/>
  <c r="J44" i="1"/>
  <c r="I44" i="1"/>
  <c r="H44" i="1"/>
  <c r="G44" i="1"/>
  <c r="F44" i="1"/>
  <c r="E44" i="1"/>
  <c r="D44" i="1"/>
  <c r="O43" i="1"/>
  <c r="N43" i="1"/>
  <c r="M43" i="1"/>
  <c r="L43" i="1"/>
  <c r="K43" i="1"/>
  <c r="J43" i="1"/>
  <c r="I43" i="1"/>
  <c r="H43" i="1"/>
  <c r="G43" i="1"/>
  <c r="F43" i="1"/>
  <c r="E43" i="1"/>
  <c r="D43" i="1"/>
  <c r="O42" i="1"/>
  <c r="N42" i="1"/>
  <c r="M42" i="1"/>
  <c r="L42" i="1"/>
  <c r="K42" i="1"/>
  <c r="J42" i="1"/>
  <c r="I42" i="1"/>
  <c r="H42" i="1"/>
  <c r="G42" i="1"/>
  <c r="F42" i="1"/>
  <c r="E42" i="1"/>
  <c r="D42" i="1"/>
  <c r="O41" i="1"/>
  <c r="N41" i="1"/>
  <c r="M41" i="1"/>
  <c r="L41" i="1"/>
  <c r="K41" i="1"/>
  <c r="J41" i="1"/>
  <c r="I41" i="1"/>
  <c r="H41" i="1"/>
  <c r="G41" i="1"/>
  <c r="F41" i="1"/>
  <c r="E41" i="1"/>
  <c r="D41" i="1"/>
  <c r="O40" i="1"/>
  <c r="N40" i="1"/>
  <c r="M40" i="1"/>
  <c r="L40" i="1"/>
  <c r="K40" i="1"/>
  <c r="J40" i="1"/>
  <c r="I40" i="1"/>
  <c r="H40" i="1"/>
  <c r="G40" i="1"/>
  <c r="F40" i="1"/>
  <c r="E40" i="1"/>
  <c r="D40" i="1"/>
  <c r="O39" i="1"/>
  <c r="N39" i="1"/>
  <c r="M39" i="1"/>
  <c r="L39" i="1"/>
  <c r="K39" i="1"/>
  <c r="J39" i="1"/>
  <c r="I39" i="1"/>
  <c r="H39" i="1"/>
  <c r="G39" i="1"/>
  <c r="F39" i="1"/>
  <c r="E39" i="1"/>
  <c r="D39" i="1"/>
  <c r="O38" i="1"/>
  <c r="N38" i="1"/>
  <c r="M38" i="1"/>
  <c r="L38" i="1"/>
  <c r="K38" i="1"/>
  <c r="J38" i="1"/>
  <c r="I38" i="1"/>
  <c r="H38" i="1"/>
  <c r="G38" i="1"/>
  <c r="F38" i="1"/>
  <c r="E38" i="1"/>
  <c r="D38" i="1"/>
  <c r="O37" i="1"/>
  <c r="N37" i="1"/>
  <c r="M37" i="1"/>
  <c r="L37" i="1"/>
  <c r="K37" i="1"/>
  <c r="J37" i="1"/>
  <c r="I37" i="1"/>
  <c r="H37" i="1"/>
  <c r="G37" i="1"/>
  <c r="F37" i="1"/>
  <c r="E37" i="1"/>
  <c r="D37" i="1"/>
  <c r="O36" i="1"/>
  <c r="N36" i="1"/>
  <c r="M36" i="1"/>
  <c r="L36" i="1"/>
  <c r="K36" i="1"/>
  <c r="J36" i="1"/>
  <c r="I36" i="1"/>
  <c r="H36" i="1"/>
  <c r="G36" i="1"/>
  <c r="F36" i="1"/>
  <c r="E36" i="1"/>
  <c r="D36" i="1"/>
  <c r="O35" i="1"/>
  <c r="N35" i="1"/>
  <c r="M35" i="1"/>
  <c r="L35" i="1"/>
  <c r="K35" i="1"/>
  <c r="J35" i="1"/>
  <c r="I35" i="1"/>
  <c r="H35" i="1"/>
  <c r="G35" i="1"/>
  <c r="F35" i="1"/>
  <c r="E35" i="1"/>
  <c r="D35" i="1"/>
  <c r="O34" i="1"/>
  <c r="N34" i="1"/>
  <c r="M34" i="1"/>
  <c r="L34" i="1"/>
  <c r="K34" i="1"/>
  <c r="J34" i="1"/>
  <c r="I34" i="1"/>
  <c r="H34" i="1"/>
  <c r="G34" i="1"/>
  <c r="F34" i="1"/>
  <c r="E34" i="1"/>
  <c r="D34" i="1"/>
  <c r="O33" i="1"/>
  <c r="N33" i="1"/>
  <c r="M33" i="1"/>
  <c r="L33" i="1"/>
  <c r="K33" i="1"/>
  <c r="J33" i="1"/>
  <c r="I33" i="1"/>
  <c r="H33" i="1"/>
  <c r="G33" i="1"/>
  <c r="F33" i="1"/>
  <c r="E33" i="1"/>
  <c r="D33" i="1"/>
  <c r="O32" i="1"/>
  <c r="N32" i="1"/>
  <c r="M32" i="1"/>
  <c r="L32" i="1"/>
  <c r="K32" i="1"/>
  <c r="J32" i="1"/>
  <c r="I32" i="1"/>
  <c r="H32" i="1"/>
  <c r="G32" i="1"/>
  <c r="F32" i="1"/>
  <c r="E32" i="1"/>
  <c r="D32" i="1"/>
  <c r="O31" i="1"/>
  <c r="N31" i="1"/>
  <c r="M31" i="1"/>
  <c r="L31" i="1"/>
  <c r="K31" i="1"/>
  <c r="J31" i="1"/>
  <c r="I31" i="1"/>
  <c r="H31" i="1"/>
  <c r="G31" i="1"/>
  <c r="F31" i="1"/>
  <c r="E31" i="1"/>
  <c r="D31" i="1"/>
  <c r="O30" i="1"/>
  <c r="N30" i="1"/>
  <c r="M30" i="1"/>
  <c r="L30" i="1"/>
  <c r="K30" i="1"/>
  <c r="J30" i="1"/>
  <c r="I30" i="1"/>
  <c r="H30" i="1"/>
  <c r="G30" i="1"/>
  <c r="F30" i="1"/>
  <c r="E30" i="1"/>
  <c r="D30" i="1"/>
  <c r="O29" i="1"/>
  <c r="N29" i="1"/>
  <c r="M29" i="1"/>
  <c r="L29" i="1"/>
  <c r="K29" i="1"/>
  <c r="J29" i="1"/>
  <c r="I29" i="1"/>
  <c r="H29" i="1"/>
  <c r="G29" i="1"/>
  <c r="F29" i="1"/>
  <c r="E29" i="1"/>
  <c r="D29" i="1"/>
  <c r="O28" i="1"/>
  <c r="N28" i="1"/>
  <c r="M28" i="1"/>
  <c r="L28" i="1"/>
  <c r="K28" i="1"/>
  <c r="J28" i="1"/>
  <c r="I28" i="1"/>
  <c r="H28" i="1"/>
  <c r="G28" i="1"/>
  <c r="F28" i="1"/>
  <c r="E28" i="1"/>
  <c r="D28" i="1"/>
  <c r="O27" i="1"/>
  <c r="N27" i="1"/>
  <c r="M27" i="1"/>
  <c r="L27" i="1"/>
  <c r="K27" i="1"/>
  <c r="J27" i="1"/>
  <c r="I27" i="1"/>
  <c r="H27" i="1"/>
  <c r="G27" i="1"/>
  <c r="F27" i="1"/>
  <c r="E27" i="1"/>
  <c r="D27" i="1"/>
  <c r="O22" i="1"/>
  <c r="N22" i="1"/>
  <c r="M22" i="1"/>
  <c r="L22" i="1"/>
  <c r="K22" i="1"/>
  <c r="J22" i="1"/>
  <c r="I22" i="1"/>
  <c r="H22" i="1"/>
  <c r="G22" i="1"/>
  <c r="F22" i="1"/>
  <c r="E22" i="1"/>
  <c r="D22" i="1"/>
  <c r="O21" i="1"/>
  <c r="N21" i="1"/>
  <c r="M21" i="1"/>
  <c r="L21" i="1"/>
  <c r="K21" i="1"/>
  <c r="J21" i="1"/>
  <c r="I21" i="1"/>
  <c r="H21" i="1"/>
  <c r="G21" i="1"/>
  <c r="F21" i="1"/>
  <c r="E21" i="1"/>
  <c r="D21" i="1"/>
  <c r="O20" i="1"/>
  <c r="N20" i="1"/>
  <c r="M20" i="1"/>
  <c r="L20" i="1"/>
  <c r="K20" i="1"/>
  <c r="J20" i="1"/>
  <c r="I20" i="1"/>
  <c r="H20" i="1"/>
  <c r="G20" i="1"/>
  <c r="F20" i="1"/>
  <c r="E20" i="1"/>
  <c r="D20" i="1"/>
  <c r="O19" i="1"/>
  <c r="N19" i="1"/>
  <c r="M19" i="1"/>
  <c r="L19" i="1"/>
  <c r="K19" i="1"/>
  <c r="J19" i="1"/>
  <c r="I19" i="1"/>
  <c r="H19" i="1"/>
  <c r="G19" i="1"/>
  <c r="F19" i="1"/>
  <c r="E19" i="1"/>
  <c r="D19" i="1"/>
  <c r="O18" i="1"/>
  <c r="N18" i="1"/>
  <c r="M18" i="1"/>
  <c r="L18" i="1"/>
  <c r="K18" i="1"/>
  <c r="J18" i="1"/>
  <c r="I18" i="1"/>
  <c r="H18" i="1"/>
  <c r="G18" i="1"/>
  <c r="F18" i="1"/>
  <c r="E18" i="1"/>
  <c r="D18" i="1"/>
  <c r="O17" i="1"/>
  <c r="N17" i="1"/>
  <c r="M17" i="1"/>
  <c r="L17" i="1"/>
  <c r="K17" i="1"/>
  <c r="J17" i="1"/>
  <c r="I17" i="1"/>
  <c r="H17" i="1"/>
  <c r="G17" i="1"/>
  <c r="F17" i="1"/>
  <c r="E17" i="1"/>
  <c r="D17" i="1"/>
  <c r="O16" i="1"/>
  <c r="N16" i="1"/>
  <c r="M16" i="1"/>
  <c r="L16" i="1"/>
  <c r="K16" i="1"/>
  <c r="J16" i="1"/>
  <c r="I16" i="1"/>
  <c r="H16" i="1"/>
  <c r="G16" i="1"/>
  <c r="F16" i="1"/>
  <c r="E16" i="1"/>
  <c r="D16" i="1"/>
  <c r="O15" i="1"/>
  <c r="N15" i="1"/>
  <c r="M15" i="1"/>
  <c r="L15" i="1"/>
  <c r="K15" i="1"/>
  <c r="J15" i="1"/>
  <c r="I15" i="1"/>
  <c r="H15" i="1"/>
  <c r="G15" i="1"/>
  <c r="F15" i="1"/>
  <c r="E15" i="1"/>
  <c r="D15" i="1"/>
  <c r="O14" i="1"/>
  <c r="N14" i="1"/>
  <c r="M14" i="1"/>
  <c r="L14" i="1"/>
  <c r="K14" i="1"/>
  <c r="J14" i="1"/>
  <c r="I14" i="1"/>
  <c r="H14" i="1"/>
  <c r="G14" i="1"/>
  <c r="F14" i="1"/>
  <c r="E14" i="1"/>
  <c r="D14" i="1"/>
  <c r="O13" i="1"/>
  <c r="N13" i="1"/>
  <c r="M13" i="1"/>
  <c r="L13" i="1"/>
  <c r="K13" i="1"/>
  <c r="J13" i="1"/>
  <c r="I13" i="1"/>
  <c r="H13" i="1"/>
  <c r="G13" i="1"/>
  <c r="F13" i="1"/>
  <c r="E13" i="1"/>
  <c r="D13" i="1"/>
  <c r="O12" i="1"/>
  <c r="N12" i="1"/>
  <c r="M12" i="1"/>
  <c r="L12" i="1"/>
  <c r="K12" i="1"/>
  <c r="J12" i="1"/>
  <c r="I12" i="1"/>
  <c r="H12" i="1"/>
  <c r="G12" i="1"/>
  <c r="F12" i="1"/>
  <c r="E12" i="1"/>
  <c r="D12" i="1"/>
  <c r="O11" i="1"/>
  <c r="N11" i="1"/>
  <c r="M11" i="1"/>
  <c r="L11" i="1"/>
  <c r="K11" i="1"/>
  <c r="J11" i="1"/>
  <c r="I11" i="1"/>
  <c r="H11" i="1"/>
  <c r="G11" i="1"/>
  <c r="F11" i="1"/>
  <c r="E11" i="1"/>
  <c r="D11" i="1"/>
  <c r="O10" i="1"/>
  <c r="N10" i="1"/>
  <c r="M10" i="1"/>
  <c r="L10" i="1"/>
  <c r="K10" i="1"/>
  <c r="J10" i="1"/>
  <c r="I10" i="1"/>
  <c r="H10" i="1"/>
  <c r="G10" i="1"/>
  <c r="F10" i="1"/>
  <c r="E10" i="1"/>
  <c r="D10" i="1"/>
  <c r="O9" i="1"/>
  <c r="N9" i="1"/>
  <c r="M9" i="1"/>
  <c r="L9" i="1"/>
  <c r="K9" i="1"/>
  <c r="J9" i="1"/>
  <c r="I9" i="1"/>
  <c r="H9" i="1"/>
  <c r="G9" i="1"/>
  <c r="F9" i="1"/>
  <c r="E9" i="1"/>
  <c r="D9" i="1"/>
  <c r="O8" i="1"/>
  <c r="N8" i="1"/>
  <c r="M8" i="1"/>
  <c r="L8" i="1"/>
  <c r="K8" i="1"/>
  <c r="J8" i="1"/>
  <c r="I8" i="1"/>
  <c r="H8" i="1"/>
  <c r="G8" i="1"/>
  <c r="F8" i="1"/>
  <c r="E8" i="1"/>
  <c r="D8" i="1"/>
  <c r="O7" i="1"/>
  <c r="N7" i="1"/>
  <c r="M7" i="1"/>
  <c r="L7" i="1"/>
  <c r="K7" i="1"/>
  <c r="J7" i="1"/>
  <c r="I7" i="1"/>
  <c r="H7" i="1"/>
  <c r="G7" i="1"/>
  <c r="F7" i="1"/>
  <c r="E7" i="1"/>
  <c r="D7" i="1"/>
  <c r="O6" i="1"/>
  <c r="N6" i="1"/>
  <c r="M6" i="1"/>
  <c r="L6" i="1"/>
  <c r="K6" i="1"/>
  <c r="I6" i="1"/>
  <c r="H6" i="1"/>
  <c r="G6" i="1"/>
  <c r="F6" i="1"/>
  <c r="E6" i="1"/>
  <c r="D6" i="1"/>
  <c r="O5" i="1"/>
  <c r="N5" i="1"/>
  <c r="M5" i="1"/>
  <c r="L5" i="1"/>
  <c r="K5" i="1"/>
  <c r="J5" i="1"/>
  <c r="I5" i="1"/>
  <c r="H5" i="1"/>
  <c r="G5" i="1"/>
  <c r="F5" i="1"/>
  <c r="E5" i="1"/>
  <c r="D5" i="1"/>
  <c r="E79" i="2" l="1"/>
  <c r="E78" i="2"/>
  <c r="AW6" i="2"/>
  <c r="AW7" i="2"/>
  <c r="AW8" i="2"/>
  <c r="AW9" i="2"/>
  <c r="AW10" i="2"/>
  <c r="AW11" i="2"/>
  <c r="AW12" i="2"/>
  <c r="AW13" i="2"/>
  <c r="AW14" i="2"/>
  <c r="AW15" i="2"/>
  <c r="AW16" i="2"/>
  <c r="AW17" i="2"/>
  <c r="AW18" i="2"/>
  <c r="F76" i="2"/>
  <c r="F75" i="2"/>
  <c r="G75" i="2" s="1"/>
  <c r="F74" i="2"/>
  <c r="G74" i="2" s="1"/>
  <c r="F73" i="2"/>
  <c r="G73" i="2" s="1"/>
  <c r="F72" i="2"/>
  <c r="G72" i="2" s="1"/>
  <c r="F71" i="2"/>
  <c r="G71" i="2" s="1"/>
  <c r="F70" i="2"/>
  <c r="G70" i="2" s="1"/>
  <c r="F69" i="2"/>
  <c r="G69" i="2" s="1"/>
  <c r="F68" i="2"/>
  <c r="G68" i="2" s="1"/>
  <c r="F67" i="2"/>
  <c r="G67" i="2" s="1"/>
  <c r="F66" i="2"/>
  <c r="G66" i="2" s="1"/>
  <c r="F65" i="2"/>
  <c r="G65" i="2" s="1"/>
  <c r="F64" i="2"/>
  <c r="G64" i="2" s="1"/>
  <c r="F63" i="2"/>
  <c r="G63" i="2" s="1"/>
  <c r="F62" i="2"/>
  <c r="F61" i="2"/>
  <c r="G61" i="2" s="1"/>
  <c r="F60" i="2"/>
  <c r="F59" i="2"/>
  <c r="F58" i="2"/>
  <c r="F57" i="2"/>
  <c r="F56" i="2"/>
  <c r="F55" i="2"/>
  <c r="G55" i="2" s="1"/>
  <c r="F54" i="2"/>
  <c r="G54" i="2" s="1"/>
  <c r="F53" i="2"/>
  <c r="G53" i="2" s="1"/>
  <c r="F52" i="2"/>
  <c r="G52" i="2" s="1"/>
  <c r="F51" i="2"/>
  <c r="G51" i="2" s="1"/>
  <c r="F50" i="2"/>
  <c r="G50" i="2" s="1"/>
  <c r="F49" i="2"/>
  <c r="G49" i="2" s="1"/>
  <c r="F48" i="2"/>
  <c r="G48" i="2" s="1"/>
  <c r="F47" i="2"/>
  <c r="G47" i="2" s="1"/>
  <c r="F46" i="2"/>
  <c r="G46" i="2" s="1"/>
  <c r="F45" i="2"/>
  <c r="G45" i="2" s="1"/>
  <c r="F44" i="2"/>
  <c r="G44" i="2" s="1"/>
  <c r="F43" i="2"/>
  <c r="G43" i="2" s="1"/>
  <c r="F42" i="2"/>
  <c r="G42" i="2" s="1"/>
  <c r="F41" i="2"/>
  <c r="G41" i="2" s="1"/>
  <c r="F40" i="2"/>
  <c r="G40" i="2" s="1"/>
  <c r="F39" i="2"/>
  <c r="F38" i="2"/>
  <c r="F37" i="2"/>
  <c r="F36" i="2"/>
  <c r="F35" i="2"/>
  <c r="F34" i="2"/>
  <c r="F33" i="2"/>
  <c r="F32" i="2"/>
  <c r="F31" i="2"/>
  <c r="F30" i="2"/>
  <c r="G30" i="2" s="1"/>
  <c r="F29" i="2"/>
  <c r="F28" i="2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7" i="2"/>
  <c r="G7" i="2" s="1"/>
  <c r="F8" i="2"/>
  <c r="G8" i="2" s="1"/>
  <c r="F9" i="2"/>
  <c r="G9" i="2" s="1"/>
  <c r="F10" i="2"/>
  <c r="G10" i="2" s="1"/>
  <c r="F11" i="2"/>
  <c r="G11" i="2" s="1"/>
  <c r="F12" i="2"/>
  <c r="G12" i="2" s="1"/>
  <c r="F13" i="2"/>
  <c r="G13" i="2" s="1"/>
  <c r="F14" i="2"/>
  <c r="F15" i="2"/>
  <c r="F16" i="2"/>
  <c r="F17" i="2"/>
  <c r="G17" i="2" s="1"/>
  <c r="F18" i="2"/>
  <c r="F19" i="2"/>
  <c r="F20" i="2"/>
  <c r="F21" i="2"/>
  <c r="G28" i="2"/>
  <c r="G32" i="2"/>
  <c r="G34" i="2"/>
  <c r="G35" i="2"/>
  <c r="G36" i="2"/>
  <c r="G37" i="2"/>
  <c r="G38" i="2"/>
  <c r="G39" i="2"/>
  <c r="AW23" i="2"/>
  <c r="AW24" i="2"/>
  <c r="AW25" i="2"/>
  <c r="AW26" i="2"/>
  <c r="AW27" i="2"/>
  <c r="AW28" i="2"/>
  <c r="AW30" i="2"/>
  <c r="AW31" i="2"/>
  <c r="AW32" i="2"/>
  <c r="AW33" i="2"/>
  <c r="AW34" i="2"/>
  <c r="AW35" i="2"/>
  <c r="AW36" i="2"/>
  <c r="AW37" i="2"/>
  <c r="AW38" i="2"/>
  <c r="AW39" i="2"/>
  <c r="AW40" i="2"/>
  <c r="G56" i="2"/>
  <c r="G57" i="2"/>
  <c r="AW19" i="2"/>
  <c r="AW20" i="2"/>
  <c r="AW21" i="2"/>
  <c r="AW22" i="2"/>
  <c r="G58" i="2"/>
  <c r="G59" i="2"/>
  <c r="G60" i="2"/>
  <c r="AW42" i="2"/>
  <c r="AW43" i="2"/>
  <c r="AW44" i="2"/>
  <c r="AW45" i="2"/>
  <c r="AW46" i="2"/>
  <c r="AW47" i="2"/>
  <c r="AW48" i="2"/>
  <c r="AW49" i="2"/>
  <c r="AW50" i="2"/>
  <c r="AW51" i="2"/>
  <c r="AW52" i="2"/>
  <c r="AW55" i="2"/>
  <c r="BK28" i="2" s="1"/>
  <c r="AW56" i="2"/>
  <c r="AW57" i="2"/>
  <c r="AW58" i="2"/>
  <c r="AW59" i="2"/>
  <c r="AW60" i="2"/>
  <c r="AW62" i="2"/>
  <c r="AW61" i="2"/>
  <c r="AW73" i="2"/>
  <c r="G76" i="2"/>
  <c r="AW63" i="2"/>
  <c r="AW64" i="2"/>
  <c r="AW68" i="2"/>
  <c r="AW69" i="2"/>
  <c r="AW70" i="2"/>
  <c r="AW71" i="2"/>
  <c r="AW72" i="2"/>
  <c r="AW74" i="2"/>
  <c r="AW75" i="2"/>
  <c r="AW76" i="2"/>
  <c r="BK24" i="2" l="1"/>
  <c r="BK60" i="2"/>
  <c r="BK61" i="2"/>
  <c r="BK26" i="2"/>
  <c r="BK77" i="2"/>
  <c r="BK44" i="2"/>
  <c r="BK76" i="2"/>
  <c r="BK43" i="2"/>
  <c r="BK75" i="2"/>
  <c r="BK42" i="2"/>
  <c r="BK27" i="2"/>
  <c r="BK58" i="2"/>
  <c r="BK73" i="2"/>
  <c r="G33" i="2"/>
  <c r="G21" i="2"/>
  <c r="G20" i="2"/>
  <c r="G19" i="2"/>
  <c r="G62" i="2"/>
  <c r="G31" i="2"/>
  <c r="G29" i="2"/>
  <c r="BK25" i="2"/>
  <c r="BK56" i="2"/>
  <c r="G16" i="2"/>
  <c r="G14" i="2"/>
  <c r="G18" i="2"/>
  <c r="BK59" i="2"/>
  <c r="BK40" i="2"/>
  <c r="BK74" i="2"/>
  <c r="BK41" i="2"/>
  <c r="BK57" i="2"/>
  <c r="BK72" i="2"/>
  <c r="BK39" i="2"/>
  <c r="G15" i="2"/>
  <c r="N76" i="2" l="1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K5" i="2"/>
  <c r="H8" i="2" l="1"/>
  <c r="Q8" i="2"/>
  <c r="H10" i="2"/>
  <c r="Q10" i="2"/>
  <c r="Q12" i="2"/>
  <c r="H12" i="2"/>
  <c r="Q14" i="2"/>
  <c r="H14" i="2"/>
  <c r="Q16" i="2"/>
  <c r="H16" i="2"/>
  <c r="Q18" i="2"/>
  <c r="H18" i="2"/>
  <c r="Q20" i="2"/>
  <c r="H20" i="2"/>
  <c r="Q22" i="2"/>
  <c r="H22" i="2"/>
  <c r="Q24" i="2"/>
  <c r="H24" i="2"/>
  <c r="Q26" i="2"/>
  <c r="H26" i="2"/>
  <c r="Q28" i="2"/>
  <c r="H28" i="2"/>
  <c r="H30" i="2"/>
  <c r="Q30" i="2"/>
  <c r="H32" i="2"/>
  <c r="Q32" i="2"/>
  <c r="H34" i="2"/>
  <c r="Q34" i="2"/>
  <c r="H36" i="2"/>
  <c r="Q36" i="2"/>
  <c r="H38" i="2"/>
  <c r="Q38" i="2"/>
  <c r="Q40" i="2"/>
  <c r="H40" i="2"/>
  <c r="Q42" i="2"/>
  <c r="H42" i="2"/>
  <c r="Q44" i="2"/>
  <c r="H44" i="2"/>
  <c r="Q46" i="2"/>
  <c r="H46" i="2"/>
  <c r="Q48" i="2"/>
  <c r="H48" i="2"/>
  <c r="Q50" i="2"/>
  <c r="H50" i="2"/>
  <c r="Q52" i="2"/>
  <c r="H52" i="2"/>
  <c r="Q54" i="2"/>
  <c r="H54" i="2"/>
  <c r="Q56" i="2"/>
  <c r="H56" i="2"/>
  <c r="Q58" i="2"/>
  <c r="H58" i="2"/>
  <c r="Q60" i="2"/>
  <c r="H60" i="2"/>
  <c r="Q62" i="2"/>
  <c r="H62" i="2"/>
  <c r="Q64" i="2"/>
  <c r="H64" i="2"/>
  <c r="Q66" i="2"/>
  <c r="H66" i="2"/>
  <c r="Q68" i="2"/>
  <c r="H68" i="2"/>
  <c r="Q70" i="2"/>
  <c r="H70" i="2"/>
  <c r="Q72" i="2"/>
  <c r="H72" i="2"/>
  <c r="Q74" i="2"/>
  <c r="H74" i="2"/>
  <c r="Q76" i="2"/>
  <c r="H76" i="2"/>
  <c r="K6" i="2"/>
  <c r="K8" i="2"/>
  <c r="K10" i="2"/>
  <c r="K12" i="2"/>
  <c r="K14" i="2"/>
  <c r="K16" i="2"/>
  <c r="K18" i="2"/>
  <c r="K20" i="2"/>
  <c r="K22" i="2"/>
  <c r="K24" i="2"/>
  <c r="K26" i="2"/>
  <c r="K28" i="2"/>
  <c r="K30" i="2"/>
  <c r="K32" i="2"/>
  <c r="K34" i="2"/>
  <c r="K36" i="2"/>
  <c r="K38" i="2"/>
  <c r="K40" i="2"/>
  <c r="K42" i="2"/>
  <c r="K44" i="2"/>
  <c r="K46" i="2"/>
  <c r="K48" i="2"/>
  <c r="K50" i="2"/>
  <c r="K52" i="2"/>
  <c r="K54" i="2"/>
  <c r="K56" i="2"/>
  <c r="K58" i="2"/>
  <c r="K60" i="2"/>
  <c r="K62" i="2"/>
  <c r="K64" i="2"/>
  <c r="K66" i="2"/>
  <c r="K68" i="2"/>
  <c r="K70" i="2"/>
  <c r="K72" i="2"/>
  <c r="K74" i="2"/>
  <c r="K76" i="2"/>
  <c r="P6" i="2"/>
  <c r="O6" i="2"/>
  <c r="O8" i="2"/>
  <c r="P8" i="2"/>
  <c r="O10" i="2"/>
  <c r="P10" i="2"/>
  <c r="O12" i="2"/>
  <c r="P12" i="2"/>
  <c r="O14" i="2"/>
  <c r="P14" i="2"/>
  <c r="O16" i="2"/>
  <c r="P16" i="2"/>
  <c r="O18" i="2"/>
  <c r="P18" i="2"/>
  <c r="O20" i="2"/>
  <c r="P20" i="2"/>
  <c r="O22" i="2"/>
  <c r="P22" i="2"/>
  <c r="O24" i="2"/>
  <c r="P24" i="2"/>
  <c r="O26" i="2"/>
  <c r="P26" i="2"/>
  <c r="P28" i="2"/>
  <c r="O28" i="2"/>
  <c r="O30" i="2"/>
  <c r="P30" i="2"/>
  <c r="O32" i="2"/>
  <c r="P32" i="2"/>
  <c r="O34" i="2"/>
  <c r="P34" i="2"/>
  <c r="O36" i="2"/>
  <c r="P36" i="2"/>
  <c r="O38" i="2"/>
  <c r="P38" i="2"/>
  <c r="O40" i="2"/>
  <c r="P40" i="2"/>
  <c r="P42" i="2"/>
  <c r="O42" i="2"/>
  <c r="P44" i="2"/>
  <c r="O44" i="2"/>
  <c r="P46" i="2"/>
  <c r="O46" i="2"/>
  <c r="P48" i="2"/>
  <c r="O48" i="2"/>
  <c r="P50" i="2"/>
  <c r="O50" i="2"/>
  <c r="P52" i="2"/>
  <c r="O52" i="2"/>
  <c r="P54" i="2"/>
  <c r="O54" i="2"/>
  <c r="P56" i="2"/>
  <c r="O56" i="2"/>
  <c r="P58" i="2"/>
  <c r="O58" i="2"/>
  <c r="P60" i="2"/>
  <c r="O60" i="2"/>
  <c r="O62" i="2"/>
  <c r="P62" i="2"/>
  <c r="O64" i="2"/>
  <c r="P64" i="2"/>
  <c r="P66" i="2"/>
  <c r="O66" i="2"/>
  <c r="P68" i="2"/>
  <c r="O68" i="2"/>
  <c r="O70" i="2"/>
  <c r="P70" i="2"/>
  <c r="O72" i="2"/>
  <c r="P72" i="2"/>
  <c r="P74" i="2"/>
  <c r="O74" i="2"/>
  <c r="O76" i="2"/>
  <c r="P76" i="2"/>
  <c r="H6" i="2"/>
  <c r="Q6" i="2"/>
  <c r="H5" i="2"/>
  <c r="Q5" i="2"/>
  <c r="Q7" i="2"/>
  <c r="H7" i="2"/>
  <c r="Q9" i="2"/>
  <c r="H9" i="2"/>
  <c r="Q11" i="2"/>
  <c r="H11" i="2"/>
  <c r="Q13" i="2"/>
  <c r="H13" i="2"/>
  <c r="Q15" i="2"/>
  <c r="H15" i="2"/>
  <c r="H17" i="2"/>
  <c r="Q17" i="2"/>
  <c r="Q19" i="2"/>
  <c r="H19" i="2"/>
  <c r="Q21" i="2"/>
  <c r="H21" i="2"/>
  <c r="Q23" i="2"/>
  <c r="H23" i="2"/>
  <c r="Q25" i="2"/>
  <c r="H25" i="2"/>
  <c r="Q27" i="2"/>
  <c r="H27" i="2"/>
  <c r="Q29" i="2"/>
  <c r="H29" i="2"/>
  <c r="H31" i="2"/>
  <c r="Q31" i="2"/>
  <c r="H33" i="2"/>
  <c r="Q33" i="2"/>
  <c r="H35" i="2"/>
  <c r="Q35" i="2"/>
  <c r="H37" i="2"/>
  <c r="Q37" i="2"/>
  <c r="Q39" i="2"/>
  <c r="H39" i="2"/>
  <c r="Q41" i="2"/>
  <c r="H41" i="2"/>
  <c r="Q43" i="2"/>
  <c r="H43" i="2"/>
  <c r="Q45" i="2"/>
  <c r="H45" i="2"/>
  <c r="Q47" i="2"/>
  <c r="H47" i="2"/>
  <c r="Q49" i="2"/>
  <c r="H49" i="2"/>
  <c r="Q51" i="2"/>
  <c r="H51" i="2"/>
  <c r="Q53" i="2"/>
  <c r="H53" i="2"/>
  <c r="Q55" i="2"/>
  <c r="H55" i="2"/>
  <c r="Q57" i="2"/>
  <c r="H57" i="2"/>
  <c r="Q59" i="2"/>
  <c r="H59" i="2"/>
  <c r="Q61" i="2"/>
  <c r="H61" i="2"/>
  <c r="Q63" i="2"/>
  <c r="H63" i="2"/>
  <c r="Q65" i="2"/>
  <c r="H65" i="2"/>
  <c r="Q67" i="2"/>
  <c r="H67" i="2"/>
  <c r="Q69" i="2"/>
  <c r="H69" i="2"/>
  <c r="Q71" i="2"/>
  <c r="H71" i="2"/>
  <c r="Q73" i="2"/>
  <c r="H73" i="2"/>
  <c r="Q75" i="2"/>
  <c r="H75" i="2"/>
  <c r="L5" i="2"/>
  <c r="M5" i="2"/>
  <c r="K7" i="2"/>
  <c r="K9" i="2"/>
  <c r="K11" i="2"/>
  <c r="K13" i="2"/>
  <c r="K15" i="2"/>
  <c r="K17" i="2"/>
  <c r="K19" i="2"/>
  <c r="K21" i="2"/>
  <c r="K23" i="2"/>
  <c r="K25" i="2"/>
  <c r="K27" i="2"/>
  <c r="K29" i="2"/>
  <c r="K31" i="2"/>
  <c r="K33" i="2"/>
  <c r="K35" i="2"/>
  <c r="K37" i="2"/>
  <c r="K39" i="2"/>
  <c r="K41" i="2"/>
  <c r="K43" i="2"/>
  <c r="K45" i="2"/>
  <c r="K47" i="2"/>
  <c r="K49" i="2"/>
  <c r="K51" i="2"/>
  <c r="K53" i="2"/>
  <c r="K55" i="2"/>
  <c r="K57" i="2"/>
  <c r="K59" i="2"/>
  <c r="K61" i="2"/>
  <c r="K63" i="2"/>
  <c r="K65" i="2"/>
  <c r="K67" i="2"/>
  <c r="K69" i="2"/>
  <c r="K71" i="2"/>
  <c r="K73" i="2"/>
  <c r="K75" i="2"/>
  <c r="P5" i="2"/>
  <c r="O5" i="2"/>
  <c r="O7" i="2"/>
  <c r="P7" i="2"/>
  <c r="O9" i="2"/>
  <c r="P9" i="2"/>
  <c r="O11" i="2"/>
  <c r="P11" i="2"/>
  <c r="O13" i="2"/>
  <c r="P13" i="2"/>
  <c r="O15" i="2"/>
  <c r="P15" i="2"/>
  <c r="O17" i="2"/>
  <c r="P17" i="2"/>
  <c r="O19" i="2"/>
  <c r="P19" i="2"/>
  <c r="O21" i="2"/>
  <c r="P21" i="2"/>
  <c r="O23" i="2"/>
  <c r="P23" i="2"/>
  <c r="O25" i="2"/>
  <c r="P25" i="2"/>
  <c r="O27" i="2"/>
  <c r="P27" i="2"/>
  <c r="O29" i="2"/>
  <c r="P29" i="2"/>
  <c r="O31" i="2"/>
  <c r="P31" i="2"/>
  <c r="O33" i="2"/>
  <c r="P33" i="2"/>
  <c r="O35" i="2"/>
  <c r="P35" i="2"/>
  <c r="O37" i="2"/>
  <c r="P37" i="2"/>
  <c r="O39" i="2"/>
  <c r="P39" i="2"/>
  <c r="O41" i="2"/>
  <c r="P41" i="2"/>
  <c r="P43" i="2"/>
  <c r="O43" i="2"/>
  <c r="P45" i="2"/>
  <c r="O45" i="2"/>
  <c r="P47" i="2"/>
  <c r="O47" i="2"/>
  <c r="P49" i="2"/>
  <c r="O49" i="2"/>
  <c r="P51" i="2"/>
  <c r="O51" i="2"/>
  <c r="P53" i="2"/>
  <c r="O53" i="2"/>
  <c r="P55" i="2"/>
  <c r="O55" i="2"/>
  <c r="P57" i="2"/>
  <c r="O57" i="2"/>
  <c r="P59" i="2"/>
  <c r="O59" i="2"/>
  <c r="O61" i="2"/>
  <c r="P61" i="2"/>
  <c r="O63" i="2"/>
  <c r="P63" i="2"/>
  <c r="O65" i="2"/>
  <c r="P65" i="2"/>
  <c r="O67" i="2"/>
  <c r="P67" i="2"/>
  <c r="O69" i="2"/>
  <c r="P69" i="2"/>
  <c r="O71" i="2"/>
  <c r="P71" i="2"/>
  <c r="P73" i="2"/>
  <c r="O73" i="2"/>
  <c r="P75" i="2"/>
  <c r="O75" i="2"/>
  <c r="H16" i="3" l="1"/>
  <c r="H14" i="3"/>
  <c r="H10" i="3"/>
  <c r="H8" i="3"/>
  <c r="H13" i="3"/>
  <c r="H19" i="3"/>
  <c r="I30" i="3"/>
  <c r="I34" i="3"/>
  <c r="E34" i="3"/>
  <c r="E32" i="3"/>
  <c r="E30" i="3"/>
  <c r="E28" i="3"/>
  <c r="E26" i="3"/>
  <c r="I33" i="3"/>
  <c r="I31" i="3"/>
  <c r="I29" i="3"/>
  <c r="I27" i="3"/>
  <c r="I25" i="3"/>
  <c r="H12" i="3"/>
  <c r="H18" i="3"/>
  <c r="H17" i="3"/>
  <c r="H15" i="3"/>
  <c r="H11" i="3"/>
  <c r="H9" i="3"/>
  <c r="I32" i="3"/>
  <c r="I28" i="3"/>
  <c r="I26" i="3"/>
  <c r="I24" i="3"/>
  <c r="H32" i="3"/>
  <c r="H30" i="3"/>
  <c r="H28" i="3"/>
  <c r="H26" i="3"/>
  <c r="H24" i="3"/>
  <c r="H34" i="3"/>
  <c r="D34" i="3"/>
  <c r="D32" i="3"/>
  <c r="D30" i="3"/>
  <c r="D28" i="3"/>
  <c r="D26" i="3"/>
  <c r="H33" i="3"/>
  <c r="H31" i="3"/>
  <c r="H29" i="3"/>
  <c r="H27" i="3"/>
  <c r="H25" i="3"/>
  <c r="H35" i="3"/>
  <c r="D35" i="3"/>
  <c r="D33" i="3"/>
  <c r="D31" i="3"/>
  <c r="D29" i="3"/>
  <c r="D27" i="3"/>
  <c r="D25" i="3"/>
  <c r="D24" i="3"/>
  <c r="L75" i="2"/>
  <c r="M75" i="2"/>
  <c r="L73" i="2"/>
  <c r="M73" i="2"/>
  <c r="M71" i="2"/>
  <c r="L71" i="2"/>
  <c r="M69" i="2"/>
  <c r="L69" i="2"/>
  <c r="M67" i="2"/>
  <c r="L67" i="2"/>
  <c r="M65" i="2"/>
  <c r="L65" i="2"/>
  <c r="M63" i="2"/>
  <c r="L63" i="2"/>
  <c r="M61" i="2"/>
  <c r="L61" i="2"/>
  <c r="L59" i="2"/>
  <c r="M59" i="2"/>
  <c r="L57" i="2"/>
  <c r="M57" i="2"/>
  <c r="L55" i="2"/>
  <c r="M55" i="2"/>
  <c r="L53" i="2"/>
  <c r="M53" i="2"/>
  <c r="L51" i="2"/>
  <c r="M51" i="2"/>
  <c r="L49" i="2"/>
  <c r="M49" i="2"/>
  <c r="L47" i="2"/>
  <c r="M47" i="2"/>
  <c r="L45" i="2"/>
  <c r="M45" i="2"/>
  <c r="L43" i="2"/>
  <c r="M43" i="2"/>
  <c r="L41" i="2"/>
  <c r="M41" i="2"/>
  <c r="L39" i="2"/>
  <c r="M39" i="2"/>
  <c r="L37" i="2"/>
  <c r="M37" i="2"/>
  <c r="L35" i="2"/>
  <c r="M35" i="2"/>
  <c r="L33" i="2"/>
  <c r="M33" i="2"/>
  <c r="L31" i="2"/>
  <c r="M31" i="2"/>
  <c r="L29" i="2"/>
  <c r="M29" i="2"/>
  <c r="L27" i="2"/>
  <c r="M27" i="2"/>
  <c r="L25" i="2"/>
  <c r="M25" i="2"/>
  <c r="L23" i="2"/>
  <c r="M23" i="2"/>
  <c r="L21" i="2"/>
  <c r="M21" i="2"/>
  <c r="L19" i="2"/>
  <c r="M19" i="2"/>
  <c r="L17" i="2"/>
  <c r="M17" i="2"/>
  <c r="L15" i="2"/>
  <c r="M15" i="2"/>
  <c r="L13" i="2"/>
  <c r="M13" i="2"/>
  <c r="L11" i="2"/>
  <c r="M11" i="2"/>
  <c r="L9" i="2"/>
  <c r="M9" i="2"/>
  <c r="L7" i="2"/>
  <c r="M7" i="2"/>
  <c r="J75" i="2"/>
  <c r="I75" i="2"/>
  <c r="I73" i="2"/>
  <c r="J73" i="2"/>
  <c r="J71" i="2"/>
  <c r="I71" i="2"/>
  <c r="J69" i="2"/>
  <c r="I69" i="2"/>
  <c r="J67" i="2"/>
  <c r="I67" i="2"/>
  <c r="J65" i="2"/>
  <c r="I65" i="2"/>
  <c r="J63" i="2"/>
  <c r="I63" i="2"/>
  <c r="I61" i="2"/>
  <c r="J61" i="2"/>
  <c r="J59" i="2"/>
  <c r="I59" i="2"/>
  <c r="J57" i="2"/>
  <c r="I57" i="2"/>
  <c r="J55" i="2"/>
  <c r="I55" i="2"/>
  <c r="J53" i="2"/>
  <c r="I53" i="2"/>
  <c r="J51" i="2"/>
  <c r="I51" i="2"/>
  <c r="I49" i="2"/>
  <c r="J49" i="2"/>
  <c r="I47" i="2"/>
  <c r="J47" i="2"/>
  <c r="I45" i="2"/>
  <c r="J45" i="2"/>
  <c r="I43" i="2"/>
  <c r="J43" i="2"/>
  <c r="I41" i="2"/>
  <c r="J41" i="2"/>
  <c r="J39" i="2"/>
  <c r="I39" i="2"/>
  <c r="R37" i="2"/>
  <c r="S37" i="2"/>
  <c r="AV37" i="2" s="1"/>
  <c r="R35" i="2"/>
  <c r="S35" i="2"/>
  <c r="AV35" i="2" s="1"/>
  <c r="BL58" i="2" s="1"/>
  <c r="R33" i="2"/>
  <c r="S33" i="2"/>
  <c r="AV33" i="2" s="1"/>
  <c r="R31" i="2"/>
  <c r="S31" i="2"/>
  <c r="AV31" i="2" s="1"/>
  <c r="I29" i="2"/>
  <c r="J29" i="2"/>
  <c r="I27" i="2"/>
  <c r="J27" i="2"/>
  <c r="I25" i="2"/>
  <c r="J25" i="2"/>
  <c r="I23" i="2"/>
  <c r="J23" i="2"/>
  <c r="I21" i="2"/>
  <c r="J21" i="2"/>
  <c r="I19" i="2"/>
  <c r="J19" i="2"/>
  <c r="R17" i="2"/>
  <c r="S17" i="2"/>
  <c r="I15" i="2"/>
  <c r="J15" i="2"/>
  <c r="I13" i="2"/>
  <c r="J13" i="2"/>
  <c r="I11" i="2"/>
  <c r="J11" i="2"/>
  <c r="I9" i="2"/>
  <c r="J9" i="2"/>
  <c r="I7" i="2"/>
  <c r="J7" i="2"/>
  <c r="R5" i="2"/>
  <c r="S5" i="2"/>
  <c r="R6" i="2"/>
  <c r="S6" i="2"/>
  <c r="L76" i="2"/>
  <c r="M76" i="2"/>
  <c r="L74" i="2"/>
  <c r="M74" i="2"/>
  <c r="M72" i="2"/>
  <c r="L72" i="2"/>
  <c r="M70" i="2"/>
  <c r="L70" i="2"/>
  <c r="M68" i="2"/>
  <c r="L68" i="2"/>
  <c r="M66" i="2"/>
  <c r="L66" i="2"/>
  <c r="M64" i="2"/>
  <c r="L64" i="2"/>
  <c r="L62" i="2"/>
  <c r="M62" i="2"/>
  <c r="L60" i="2"/>
  <c r="M60" i="2"/>
  <c r="L58" i="2"/>
  <c r="M58" i="2"/>
  <c r="M56" i="2"/>
  <c r="L56" i="2"/>
  <c r="L54" i="2"/>
  <c r="M54" i="2"/>
  <c r="L52" i="2"/>
  <c r="M52" i="2"/>
  <c r="L50" i="2"/>
  <c r="M50" i="2"/>
  <c r="L48" i="2"/>
  <c r="M48" i="2"/>
  <c r="L46" i="2"/>
  <c r="M46" i="2"/>
  <c r="M44" i="2"/>
  <c r="L44" i="2"/>
  <c r="L42" i="2"/>
  <c r="M42" i="2"/>
  <c r="L40" i="2"/>
  <c r="M40" i="2"/>
  <c r="L38" i="2"/>
  <c r="M38" i="2"/>
  <c r="L36" i="2"/>
  <c r="M36" i="2"/>
  <c r="L34" i="2"/>
  <c r="M34" i="2"/>
  <c r="L32" i="2"/>
  <c r="M32" i="2"/>
  <c r="M30" i="2"/>
  <c r="L30" i="2"/>
  <c r="L28" i="2"/>
  <c r="M28" i="2"/>
  <c r="L26" i="2"/>
  <c r="M26" i="2"/>
  <c r="L24" i="2"/>
  <c r="M24" i="2"/>
  <c r="L22" i="2"/>
  <c r="M22" i="2"/>
  <c r="L20" i="2"/>
  <c r="M20" i="2"/>
  <c r="L18" i="2"/>
  <c r="M18" i="2"/>
  <c r="L16" i="2"/>
  <c r="M16" i="2"/>
  <c r="L14" i="2"/>
  <c r="M14" i="2"/>
  <c r="L12" i="2"/>
  <c r="M12" i="2"/>
  <c r="L10" i="2"/>
  <c r="M10" i="2"/>
  <c r="L8" i="2"/>
  <c r="M8" i="2"/>
  <c r="M6" i="2"/>
  <c r="L6" i="2"/>
  <c r="J76" i="2"/>
  <c r="I76" i="2"/>
  <c r="I74" i="2"/>
  <c r="J74" i="2"/>
  <c r="J72" i="2"/>
  <c r="I72" i="2"/>
  <c r="J70" i="2"/>
  <c r="I70" i="2"/>
  <c r="J68" i="2"/>
  <c r="I68" i="2"/>
  <c r="J66" i="2"/>
  <c r="I66" i="2"/>
  <c r="J64" i="2"/>
  <c r="I64" i="2"/>
  <c r="I62" i="2"/>
  <c r="J62" i="2"/>
  <c r="J60" i="2"/>
  <c r="I60" i="2"/>
  <c r="J58" i="2"/>
  <c r="I58" i="2"/>
  <c r="J56" i="2"/>
  <c r="I56" i="2"/>
  <c r="J54" i="2"/>
  <c r="I54" i="2"/>
  <c r="J52" i="2"/>
  <c r="I52" i="2"/>
  <c r="J50" i="2"/>
  <c r="I50" i="2"/>
  <c r="J48" i="2"/>
  <c r="I48" i="2"/>
  <c r="J46" i="2"/>
  <c r="I46" i="2"/>
  <c r="J44" i="2"/>
  <c r="I44" i="2"/>
  <c r="J42" i="2"/>
  <c r="I42" i="2"/>
  <c r="I40" i="2"/>
  <c r="J40" i="2"/>
  <c r="R38" i="2"/>
  <c r="S38" i="2"/>
  <c r="AV38" i="2" s="1"/>
  <c r="S36" i="2"/>
  <c r="AV36" i="2" s="1"/>
  <c r="R36" i="2"/>
  <c r="R34" i="2"/>
  <c r="S34" i="2"/>
  <c r="AV34" i="2" s="1"/>
  <c r="S32" i="2"/>
  <c r="AV32" i="2" s="1"/>
  <c r="R32" i="2"/>
  <c r="S30" i="2"/>
  <c r="AV30" i="2" s="1"/>
  <c r="R30" i="2"/>
  <c r="I28" i="2"/>
  <c r="J28" i="2"/>
  <c r="J26" i="2"/>
  <c r="I26" i="2"/>
  <c r="I24" i="2"/>
  <c r="J24" i="2"/>
  <c r="J22" i="2"/>
  <c r="I22" i="2"/>
  <c r="I20" i="2"/>
  <c r="J20" i="2"/>
  <c r="I18" i="2"/>
  <c r="J18" i="2"/>
  <c r="I16" i="2"/>
  <c r="J16" i="2"/>
  <c r="I14" i="2"/>
  <c r="J14" i="2"/>
  <c r="I12" i="2"/>
  <c r="J12" i="2"/>
  <c r="R10" i="2"/>
  <c r="S10" i="2"/>
  <c r="R8" i="2"/>
  <c r="S8" i="2"/>
  <c r="I35" i="3"/>
  <c r="E35" i="3"/>
  <c r="E33" i="3"/>
  <c r="E31" i="3"/>
  <c r="E29" i="3"/>
  <c r="E27" i="3"/>
  <c r="E25" i="3"/>
  <c r="R75" i="2"/>
  <c r="S75" i="2"/>
  <c r="AV75" i="2" s="1"/>
  <c r="R73" i="2"/>
  <c r="S73" i="2"/>
  <c r="AV73" i="2" s="1"/>
  <c r="S71" i="2"/>
  <c r="AV71" i="2" s="1"/>
  <c r="R71" i="2"/>
  <c r="S69" i="2"/>
  <c r="AV69" i="2" s="1"/>
  <c r="R69" i="2"/>
  <c r="S67" i="2"/>
  <c r="AV67" i="2" s="1"/>
  <c r="R67" i="2"/>
  <c r="S65" i="2"/>
  <c r="R65" i="2"/>
  <c r="S63" i="2"/>
  <c r="AV63" i="2" s="1"/>
  <c r="R63" i="2"/>
  <c r="S61" i="2"/>
  <c r="AV61" i="2" s="1"/>
  <c r="R61" i="2"/>
  <c r="R59" i="2"/>
  <c r="S59" i="2"/>
  <c r="AV59" i="2" s="1"/>
  <c r="S57" i="2"/>
  <c r="AV57" i="2" s="1"/>
  <c r="R57" i="2"/>
  <c r="R55" i="2"/>
  <c r="S55" i="2"/>
  <c r="AV55" i="2" s="1"/>
  <c r="R53" i="2"/>
  <c r="S53" i="2"/>
  <c r="R51" i="2"/>
  <c r="S51" i="2"/>
  <c r="AV51" i="2" s="1"/>
  <c r="R49" i="2"/>
  <c r="S49" i="2"/>
  <c r="AV49" i="2" s="1"/>
  <c r="R47" i="2"/>
  <c r="S47" i="2"/>
  <c r="AV47" i="2" s="1"/>
  <c r="BL59" i="2" s="1"/>
  <c r="R45" i="2"/>
  <c r="S45" i="2"/>
  <c r="AV45" i="2" s="1"/>
  <c r="R43" i="2"/>
  <c r="S43" i="2"/>
  <c r="AV43" i="2" s="1"/>
  <c r="R41" i="2"/>
  <c r="S41" i="2"/>
  <c r="R39" i="2"/>
  <c r="S39" i="2"/>
  <c r="AV39" i="2" s="1"/>
  <c r="J37" i="2"/>
  <c r="I37" i="2"/>
  <c r="J35" i="2"/>
  <c r="I35" i="2"/>
  <c r="J33" i="2"/>
  <c r="I33" i="2"/>
  <c r="I31" i="2"/>
  <c r="J31" i="2"/>
  <c r="R29" i="2"/>
  <c r="S29" i="2"/>
  <c r="R27" i="2"/>
  <c r="S27" i="2"/>
  <c r="AV27" i="2" s="1"/>
  <c r="R25" i="2"/>
  <c r="S25" i="2"/>
  <c r="AV25" i="2" s="1"/>
  <c r="R23" i="2"/>
  <c r="S23" i="2"/>
  <c r="AV23" i="2" s="1"/>
  <c r="BL57" i="2" s="1"/>
  <c r="R21" i="2"/>
  <c r="S21" i="2"/>
  <c r="AV21" i="2" s="1"/>
  <c r="R19" i="2"/>
  <c r="S19" i="2"/>
  <c r="AV19" i="2" s="1"/>
  <c r="I17" i="2"/>
  <c r="J17" i="2"/>
  <c r="R15" i="2"/>
  <c r="Y15" i="2" s="1"/>
  <c r="S15" i="2"/>
  <c r="R13" i="2"/>
  <c r="S13" i="2"/>
  <c r="R11" i="2"/>
  <c r="S11" i="2"/>
  <c r="R9" i="2"/>
  <c r="Y9" i="2" s="1"/>
  <c r="S9" i="2"/>
  <c r="R7" i="2"/>
  <c r="Y7" i="2" s="1"/>
  <c r="S7" i="2"/>
  <c r="J5" i="2"/>
  <c r="I5" i="2"/>
  <c r="J6" i="2"/>
  <c r="I6" i="2"/>
  <c r="R76" i="2"/>
  <c r="S76" i="2"/>
  <c r="AV76" i="2" s="1"/>
  <c r="R74" i="2"/>
  <c r="S74" i="2"/>
  <c r="AV74" i="2" s="1"/>
  <c r="BL77" i="2" s="1"/>
  <c r="S72" i="2"/>
  <c r="AV72" i="2" s="1"/>
  <c r="R72" i="2"/>
  <c r="S70" i="2"/>
  <c r="AV70" i="2" s="1"/>
  <c r="R70" i="2"/>
  <c r="S68" i="2"/>
  <c r="AV68" i="2" s="1"/>
  <c r="BL44" i="2" s="1"/>
  <c r="R68" i="2"/>
  <c r="S66" i="2"/>
  <c r="AV66" i="2" s="1"/>
  <c r="R66" i="2"/>
  <c r="S64" i="2"/>
  <c r="AV64" i="2" s="1"/>
  <c r="R64" i="2"/>
  <c r="R62" i="2"/>
  <c r="S62" i="2"/>
  <c r="AV62" i="2" s="1"/>
  <c r="R60" i="2"/>
  <c r="S60" i="2"/>
  <c r="AV60" i="2" s="1"/>
  <c r="R58" i="2"/>
  <c r="S58" i="2"/>
  <c r="AV58" i="2" s="1"/>
  <c r="S56" i="2"/>
  <c r="AV56" i="2" s="1"/>
  <c r="R56" i="2"/>
  <c r="R54" i="2"/>
  <c r="S54" i="2"/>
  <c r="AV54" i="2" s="1"/>
  <c r="R52" i="2"/>
  <c r="S52" i="2"/>
  <c r="AV52" i="2" s="1"/>
  <c r="R50" i="2"/>
  <c r="S50" i="2"/>
  <c r="AV50" i="2" s="1"/>
  <c r="BL75" i="2" s="1"/>
  <c r="S48" i="2"/>
  <c r="AV48" i="2" s="1"/>
  <c r="R48" i="2"/>
  <c r="S46" i="2"/>
  <c r="AV46" i="2" s="1"/>
  <c r="R46" i="2"/>
  <c r="R44" i="2"/>
  <c r="S44" i="2"/>
  <c r="AV44" i="2" s="1"/>
  <c r="S42" i="2"/>
  <c r="AV42" i="2" s="1"/>
  <c r="R42" i="2"/>
  <c r="S40" i="2"/>
  <c r="AV40" i="2" s="1"/>
  <c r="R40" i="2"/>
  <c r="I38" i="2"/>
  <c r="J38" i="2"/>
  <c r="I36" i="2"/>
  <c r="J36" i="2"/>
  <c r="I34" i="2"/>
  <c r="J34" i="2"/>
  <c r="I32" i="2"/>
  <c r="J32" i="2"/>
  <c r="I30" i="2"/>
  <c r="J30" i="2"/>
  <c r="S28" i="2"/>
  <c r="AV28" i="2" s="1"/>
  <c r="R28" i="2"/>
  <c r="S26" i="2"/>
  <c r="AV26" i="2" s="1"/>
  <c r="BL73" i="2" s="1"/>
  <c r="R26" i="2"/>
  <c r="S24" i="2"/>
  <c r="AV24" i="2" s="1"/>
  <c r="R24" i="2"/>
  <c r="R22" i="2"/>
  <c r="S22" i="2"/>
  <c r="AV22" i="2" s="1"/>
  <c r="R20" i="2"/>
  <c r="S20" i="2"/>
  <c r="AV20" i="2" s="1"/>
  <c r="R18" i="2"/>
  <c r="S18" i="2"/>
  <c r="AV18" i="2" s="1"/>
  <c r="R16" i="2"/>
  <c r="S16" i="2"/>
  <c r="R14" i="2"/>
  <c r="S14" i="2"/>
  <c r="R12" i="2"/>
  <c r="S12" i="2"/>
  <c r="I10" i="2"/>
  <c r="J10" i="2"/>
  <c r="I8" i="2"/>
  <c r="J8" i="2"/>
  <c r="I18" i="3"/>
  <c r="I19" i="3"/>
  <c r="E18" i="3"/>
  <c r="E16" i="3"/>
  <c r="E14" i="3"/>
  <c r="E12" i="3"/>
  <c r="E10" i="3"/>
  <c r="E17" i="3"/>
  <c r="Y16" i="2" l="1"/>
  <c r="BL43" i="2"/>
  <c r="BL61" i="2"/>
  <c r="D11" i="3"/>
  <c r="D13" i="3"/>
  <c r="D15" i="3"/>
  <c r="I8" i="3"/>
  <c r="I16" i="3"/>
  <c r="E8" i="3"/>
  <c r="E24" i="3"/>
  <c r="Y14" i="2"/>
  <c r="AI10" i="2"/>
  <c r="AV65" i="2"/>
  <c r="BL29" i="2" s="1"/>
  <c r="AV8" i="2"/>
  <c r="Z8" i="2"/>
  <c r="AV10" i="2"/>
  <c r="Z10" i="2"/>
  <c r="BL74" i="2"/>
  <c r="AV6" i="2"/>
  <c r="Z6" i="2"/>
  <c r="AV5" i="2"/>
  <c r="S78" i="2"/>
  <c r="Z5" i="2"/>
  <c r="AI5" i="2"/>
  <c r="AV17" i="2"/>
  <c r="BL25" i="2" s="1"/>
  <c r="AI6" i="2"/>
  <c r="BL41" i="2"/>
  <c r="D9" i="3"/>
  <c r="D19" i="3"/>
  <c r="I15" i="3"/>
  <c r="I9" i="3"/>
  <c r="E9" i="3"/>
  <c r="E11" i="3"/>
  <c r="E13" i="3"/>
  <c r="E15" i="3"/>
  <c r="D17" i="3"/>
  <c r="E19" i="3"/>
  <c r="D10" i="3"/>
  <c r="D12" i="3"/>
  <c r="D14" i="3"/>
  <c r="D16" i="3"/>
  <c r="D18" i="3"/>
  <c r="I11" i="3"/>
  <c r="I17" i="3"/>
  <c r="I13" i="3"/>
  <c r="I12" i="3"/>
  <c r="I14" i="3"/>
  <c r="I10" i="3"/>
  <c r="D8" i="3"/>
  <c r="Z12" i="2"/>
  <c r="AV12" i="2"/>
  <c r="Z14" i="2"/>
  <c r="AV14" i="2"/>
  <c r="AV16" i="2"/>
  <c r="Z16" i="2"/>
  <c r="BL40" i="2"/>
  <c r="BL42" i="2"/>
  <c r="BL76" i="2"/>
  <c r="Y10" i="2"/>
  <c r="Y12" i="2"/>
  <c r="Z7" i="2"/>
  <c r="AV7" i="2"/>
  <c r="BL24" i="2" s="1"/>
  <c r="AV9" i="2"/>
  <c r="Z9" i="2"/>
  <c r="AV11" i="2"/>
  <c r="Z11" i="2"/>
  <c r="AV13" i="2"/>
  <c r="Z13" i="2"/>
  <c r="Z15" i="2"/>
  <c r="AV15" i="2"/>
  <c r="AV29" i="2"/>
  <c r="BL26" i="2" s="1"/>
  <c r="AI7" i="2"/>
  <c r="AI8" i="2"/>
  <c r="AV41" i="2"/>
  <c r="BL27" i="2" s="1"/>
  <c r="AV53" i="2"/>
  <c r="BL28" i="2" s="1"/>
  <c r="AI9" i="2"/>
  <c r="BL60" i="2"/>
  <c r="Y13" i="2"/>
  <c r="Y11" i="2"/>
  <c r="Y8" i="2"/>
  <c r="Y6" i="2"/>
  <c r="Y5" i="2"/>
  <c r="BL39" i="2" l="1"/>
  <c r="BL56" i="2"/>
  <c r="BL72" i="2"/>
</calcChain>
</file>

<file path=xl/comments1.xml><?xml version="1.0" encoding="utf-8"?>
<comments xmlns="http://schemas.openxmlformats.org/spreadsheetml/2006/main">
  <authors>
    <author>Nuno</author>
  </authors>
  <commentList>
    <comment ref="D3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Apenas indicativo! Representa a % de ocupação face à ocupação total (100%)</t>
        </r>
      </text>
    </comment>
    <comment ref="G3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Apenas indicativo! Representa a % de ocupação por m</t>
        </r>
        <r>
          <rPr>
            <vertAlign val="superscript"/>
            <sz val="9"/>
            <color indexed="81"/>
            <rFont val="Tahoma"/>
            <family val="2"/>
          </rPr>
          <t>2</t>
        </r>
      </text>
    </comment>
    <comment ref="Q3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Ilum&amp;Tom + ACFrio + ACQuente</t>
        </r>
      </text>
    </comment>
    <comment ref="E5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Valor aproximado tendo em consideração a média dos meses de Janeiro e o facto de em Jan-07 ter ocorrido o Dakar.</t>
        </r>
      </text>
    </comment>
    <comment ref="F5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Valor inserido à MÃO!!!</t>
        </r>
      </text>
    </comment>
  </commentList>
</comments>
</file>

<file path=xl/sharedStrings.xml><?xml version="1.0" encoding="utf-8"?>
<sst xmlns="http://schemas.openxmlformats.org/spreadsheetml/2006/main" count="368" uniqueCount="74">
  <si>
    <t>Consumos Globais por Módulo (Médias Mensais) - MODULO 1</t>
  </si>
  <si>
    <t>MOD</t>
  </si>
  <si>
    <t>Equip.</t>
  </si>
  <si>
    <t>Ano/Mês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</si>
  <si>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</si>
  <si>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</si>
  <si>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</si>
  <si>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</si>
  <si>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</si>
  <si>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</si>
  <si>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</si>
  <si>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</si>
  <si>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</si>
  <si>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</si>
  <si>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</si>
  <si>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</si>
  <si>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MOD_1</t>
  </si>
  <si>
    <t>Ilum&amp;tom</t>
  </si>
  <si>
    <t>07</t>
  </si>
  <si>
    <t>08</t>
  </si>
  <si>
    <t>09</t>
  </si>
  <si>
    <t>AC Frio</t>
  </si>
  <si>
    <t>AC Quente</t>
  </si>
  <si>
    <t>Consumos Globais por Módulo (Médias Mensais) - MODULO 2</t>
  </si>
  <si>
    <t>MOD_2</t>
  </si>
  <si>
    <t>Consumos Globais por Módulo (Médias Mensais) - MODULO 3</t>
  </si>
  <si>
    <t>MOD_3</t>
  </si>
  <si>
    <t>Valores Médios Mensais</t>
  </si>
  <si>
    <t>Análise Anual</t>
  </si>
  <si>
    <t>Análise Sazonal - Estações Ano</t>
  </si>
  <si>
    <t>Ano</t>
  </si>
  <si>
    <t>Mês</t>
  </si>
  <si>
    <t>% Taxa de Ocupação</t>
  </si>
  <si>
    <t>Taxa de Ocup. Efectiva</t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</si>
  <si>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</si>
  <si>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Taxa de Ocup./m</t>
    </r>
    <r>
      <rPr>
        <vertAlign val="superscript"/>
        <sz val="10"/>
        <color theme="1"/>
        <rFont val="Calibri"/>
        <family val="2"/>
        <scheme val="minor"/>
      </rPr>
      <t>2</t>
    </r>
  </si>
  <si>
    <t>Consumo (Fraccionado)</t>
  </si>
  <si>
    <t>Consumo</t>
  </si>
  <si>
    <t>Consumo / Taxa de Ocup.</t>
  </si>
  <si>
    <r>
      <t>Consumo/m</t>
    </r>
    <r>
      <rPr>
        <vertAlign val="superscript"/>
        <sz val="11"/>
        <color theme="1"/>
        <rFont val="Calibri"/>
        <family val="2"/>
        <scheme val="minor"/>
      </rPr>
      <t>2</t>
    </r>
  </si>
  <si>
    <t>Cons/T. O.</t>
  </si>
  <si>
    <r>
      <t>Ilum&amp;tom/ m</t>
    </r>
    <r>
      <rPr>
        <vertAlign val="superscript"/>
        <sz val="10"/>
        <color theme="1"/>
        <rFont val="Calibri"/>
        <family val="2"/>
        <scheme val="minor"/>
      </rPr>
      <t>2</t>
    </r>
  </si>
  <si>
    <r>
      <t>AC Frio/m</t>
    </r>
    <r>
      <rPr>
        <vertAlign val="superscript"/>
        <sz val="10"/>
        <color theme="1"/>
        <rFont val="Calibri"/>
        <family val="2"/>
        <scheme val="minor"/>
      </rPr>
      <t>2</t>
    </r>
  </si>
  <si>
    <r>
      <t>AC Quente/m</t>
    </r>
    <r>
      <rPr>
        <vertAlign val="superscript"/>
        <sz val="10"/>
        <color theme="1"/>
        <rFont val="Calibri"/>
        <family val="2"/>
        <scheme val="minor"/>
      </rPr>
      <t>2</t>
    </r>
  </si>
  <si>
    <t>Cons/T.O.</t>
  </si>
  <si>
    <r>
      <t>Cons./m</t>
    </r>
    <r>
      <rPr>
        <vertAlign val="superscript"/>
        <sz val="11"/>
        <color theme="1"/>
        <rFont val="Calibri"/>
        <family val="2"/>
        <scheme val="minor"/>
      </rPr>
      <t>2</t>
    </r>
  </si>
  <si>
    <t>Unidades:</t>
  </si>
  <si>
    <t>T.O.E.</t>
  </si>
  <si>
    <t>Jan</t>
  </si>
  <si>
    <r>
      <t>kWh/m</t>
    </r>
    <r>
      <rPr>
        <vertAlign val="superscript"/>
        <sz val="11"/>
        <color theme="1"/>
        <rFont val="Calibri"/>
        <family val="2"/>
        <scheme val="minor"/>
      </rPr>
      <t>2</t>
    </r>
  </si>
  <si>
    <t>Fev</t>
  </si>
  <si>
    <r>
      <t>kWh/(evento.m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</si>
  <si>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</si>
  <si>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</si>
  <si>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</si>
  <si>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</si>
  <si>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</si>
  <si>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</si>
  <si>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</si>
  <si>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</si>
  <si>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</si>
  <si>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</si>
  <si>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MAX</t>
  </si>
  <si>
    <t>MIN</t>
  </si>
  <si>
    <t>Consumo Global/Área</t>
  </si>
  <si>
    <t>Consumo AC Frio/Área</t>
  </si>
  <si>
    <t>Inativação dos Chillers no Inverno (NOV_2011)</t>
  </si>
  <si>
    <t>Implicação no Consumo Global</t>
  </si>
  <si>
    <t xml:space="preserve"> ANTES</t>
  </si>
  <si>
    <t xml:space="preserve"> DEPOIS</t>
  </si>
  <si>
    <t>07-11</t>
  </si>
  <si>
    <t>07-10</t>
  </si>
  <si>
    <t>11-12</t>
  </si>
  <si>
    <t>Implicação no Consumo AC Frio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</si>
</sst>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#,##0.00\ &quot;€&quot;"/>
    <numFmt numFmtId="165" formatCode="#,##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vertAlign val="superscript"/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4">
    <xf numFmtId="0" fontId="0" fillId="0" borderId="0" xfId="0"/>
    <xf numFmtId="0" fontId="0" fillId="0" borderId="0" xfId="0" applyProtection="1">
      <protection hidden="1"/>
    </xf>
    <xf numFmtId="0" fontId="0" fillId="4" borderId="0" xfId="0" applyFill="1" applyProtection="1">
      <protection hidden="1"/>
    </xf>
    <xf numFmtId="0" fontId="0" fillId="4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10" xfId="0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7" xfId="0" applyFill="1" applyBorder="1" applyAlignment="1" applyProtection="1">
      <alignment horizontal="center" vertical="center"/>
      <protection hidden="1"/>
    </xf>
    <xf numFmtId="165" fontId="0" fillId="0" borderId="7" xfId="0" applyNumberFormat="1" applyFill="1" applyBorder="1" applyAlignment="1" applyProtection="1">
      <alignment horizontal="center" vertical="center"/>
      <protection hidden="1"/>
    </xf>
    <xf numFmtId="4" fontId="0" fillId="0" borderId="8" xfId="0" applyNumberFormat="1" applyFill="1" applyBorder="1" applyAlignment="1" applyProtection="1">
      <alignment horizontal="center" vertical="center"/>
      <protection hidden="1"/>
    </xf>
    <xf numFmtId="165" fontId="0" fillId="0" borderId="0" xfId="0" applyNumberFormat="1" applyFill="1" applyBorder="1" applyAlignment="1" applyProtection="1">
      <alignment horizontal="center" vertical="center"/>
      <protection hidden="1"/>
    </xf>
    <xf numFmtId="4" fontId="0" fillId="0" borderId="11" xfId="0" applyNumberFormat="1" applyFill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165" fontId="0" fillId="0" borderId="14" xfId="0" applyNumberFormat="1" applyFill="1" applyBorder="1" applyAlignment="1" applyProtection="1">
      <alignment horizontal="center" vertical="center"/>
      <protection hidden="1"/>
    </xf>
    <xf numFmtId="4" fontId="0" fillId="0" borderId="15" xfId="0" applyNumberFormat="1" applyFill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0" fillId="0" borderId="10" xfId="0" applyBorder="1" applyProtection="1">
      <protection hidden="1"/>
    </xf>
    <xf numFmtId="0" fontId="4" fillId="0" borderId="6" xfId="0" quotePrefix="1" applyNumberFormat="1" applyFont="1" applyBorder="1" applyAlignment="1" applyProtection="1">
      <alignment horizontal="center" textRotation="45" wrapText="1"/>
      <protection hidden="1"/>
    </xf>
    <xf numFmtId="0" fontId="4" fillId="0" borderId="13" xfId="0" applyNumberFormat="1" applyFont="1" applyBorder="1" applyAlignment="1" applyProtection="1">
      <alignment horizontal="center" textRotation="45" wrapText="1"/>
      <protection hidden="1"/>
    </xf>
    <xf numFmtId="0" fontId="4" fillId="0" borderId="10" xfId="0" quotePrefix="1" applyNumberFormat="1" applyFont="1" applyFill="1" applyBorder="1" applyAlignment="1" applyProtection="1">
      <alignment horizontal="center" vertical="center" textRotation="45"/>
      <protection hidden="1"/>
    </xf>
    <xf numFmtId="0" fontId="4" fillId="0" borderId="13" xfId="0" applyNumberFormat="1" applyFont="1" applyFill="1" applyBorder="1" applyAlignment="1" applyProtection="1">
      <alignment horizontal="center" vertical="center" textRotation="45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4" fillId="0" borderId="6" xfId="0" quotePrefix="1" applyNumberFormat="1" applyFont="1" applyBorder="1" applyAlignment="1" applyProtection="1">
      <alignment horizontal="center" vertical="center" textRotation="45"/>
      <protection hidden="1"/>
    </xf>
    <xf numFmtId="0" fontId="4" fillId="0" borderId="10" xfId="0" applyNumberFormat="1" applyFont="1" applyBorder="1" applyAlignment="1" applyProtection="1">
      <alignment horizontal="center" vertical="center" textRotation="45"/>
      <protection hidden="1"/>
    </xf>
    <xf numFmtId="0" fontId="4" fillId="0" borderId="13" xfId="0" applyNumberFormat="1" applyFont="1" applyBorder="1" applyAlignment="1" applyProtection="1">
      <alignment horizontal="center" vertical="center" textRotation="45"/>
      <protection hidden="1"/>
    </xf>
    <xf numFmtId="0" fontId="4" fillId="0" borderId="6" xfId="0" applyNumberFormat="1" applyFont="1" applyFill="1" applyBorder="1" applyAlignment="1" applyProtection="1">
      <alignment horizontal="center" vertical="center" textRotation="45"/>
      <protection hidden="1"/>
    </xf>
    <xf numFmtId="0" fontId="4" fillId="0" borderId="10" xfId="0" applyNumberFormat="1" applyFont="1" applyFill="1" applyBorder="1" applyAlignment="1" applyProtection="1">
      <alignment horizontal="center" vertical="center" textRotation="45"/>
      <protection hidden="1"/>
    </xf>
    <xf numFmtId="0" fontId="4" fillId="0" borderId="6" xfId="0" quotePrefix="1" applyNumberFormat="1" applyFont="1" applyFill="1" applyBorder="1" applyAlignment="1" applyProtection="1">
      <alignment horizontal="center" vertical="center" textRotation="45"/>
      <protection hidden="1"/>
    </xf>
    <xf numFmtId="0" fontId="0" fillId="11" borderId="14" xfId="0" applyFill="1" applyBorder="1" applyAlignment="1" applyProtection="1">
      <alignment horizontal="center"/>
      <protection hidden="1"/>
    </xf>
    <xf numFmtId="3" fontId="3" fillId="5" borderId="0" xfId="0" applyNumberFormat="1" applyFont="1" applyFill="1" applyAlignment="1" applyProtection="1">
      <alignment horizontal="center" vertical="center"/>
      <protection hidden="1"/>
    </xf>
    <xf numFmtId="0" fontId="0" fillId="10" borderId="0" xfId="0" applyFill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2" borderId="1" xfId="0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0" fontId="0" fillId="2" borderId="3" xfId="0" applyFill="1" applyBorder="1" applyAlignment="1" applyProtection="1">
      <alignment horizontal="center" vertical="center"/>
      <protection hidden="1"/>
    </xf>
    <xf numFmtId="0" fontId="0" fillId="3" borderId="4" xfId="0" applyFill="1" applyBorder="1" applyAlignment="1" applyProtection="1">
      <alignment horizontal="center" vertical="center"/>
      <protection hidden="1"/>
    </xf>
    <xf numFmtId="3" fontId="0" fillId="0" borderId="2" xfId="0" applyNumberFormat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3" fontId="0" fillId="0" borderId="0" xfId="0" applyNumberFormat="1" applyBorder="1" applyProtection="1"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49" fontId="0" fillId="0" borderId="5" xfId="1" applyNumberFormat="1" applyFont="1" applyFill="1" applyBorder="1" applyAlignment="1" applyProtection="1">
      <alignment horizontal="center" vertical="center"/>
      <protection hidden="1"/>
    </xf>
    <xf numFmtId="3" fontId="0" fillId="0" borderId="6" xfId="0" applyNumberFormat="1" applyFill="1" applyBorder="1" applyAlignment="1" applyProtection="1">
      <alignment horizontal="center" vertical="center"/>
      <protection hidden="1"/>
    </xf>
    <xf numFmtId="3" fontId="0" fillId="0" borderId="7" xfId="0" applyNumberFormat="1" applyFill="1" applyBorder="1" applyAlignment="1" applyProtection="1">
      <alignment horizontal="center" vertical="center"/>
      <protection hidden="1"/>
    </xf>
    <xf numFmtId="3" fontId="0" fillId="0" borderId="8" xfId="0" applyNumberFormat="1" applyFill="1" applyBorder="1" applyAlignment="1" applyProtection="1">
      <alignment horizontal="center" vertical="center"/>
      <protection hidden="1"/>
    </xf>
    <xf numFmtId="0" fontId="0" fillId="0" borderId="9" xfId="0" applyFill="1" applyBorder="1" applyAlignment="1" applyProtection="1">
      <alignment horizontal="center" vertical="center"/>
      <protection hidden="1"/>
    </xf>
    <xf numFmtId="49" fontId="0" fillId="0" borderId="9" xfId="0" applyNumberFormat="1" applyFill="1" applyBorder="1" applyAlignment="1" applyProtection="1">
      <alignment horizontal="center" vertical="center"/>
      <protection hidden="1"/>
    </xf>
    <xf numFmtId="3" fontId="0" fillId="0" borderId="10" xfId="0" applyNumberFormat="1" applyFill="1" applyBorder="1" applyAlignment="1" applyProtection="1">
      <alignment horizontal="center" vertical="center"/>
      <protection hidden="1"/>
    </xf>
    <xf numFmtId="3" fontId="0" fillId="0" borderId="0" xfId="0" applyNumberFormat="1" applyFill="1" applyBorder="1" applyAlignment="1" applyProtection="1">
      <alignment horizontal="center" vertical="center"/>
      <protection hidden="1"/>
    </xf>
    <xf numFmtId="3" fontId="0" fillId="0" borderId="11" xfId="0" applyNumberFormat="1" applyFill="1" applyBorder="1" applyAlignment="1" applyProtection="1">
      <alignment horizontal="center" vertical="center"/>
      <protection hidden="1"/>
    </xf>
    <xf numFmtId="0" fontId="0" fillId="0" borderId="12" xfId="0" applyFill="1" applyBorder="1" applyAlignment="1" applyProtection="1">
      <alignment horizontal="center" vertical="center"/>
      <protection hidden="1"/>
    </xf>
    <xf numFmtId="49" fontId="0" fillId="0" borderId="12" xfId="0" applyNumberFormat="1" applyFill="1" applyBorder="1" applyAlignment="1" applyProtection="1">
      <alignment horizontal="center" vertical="center"/>
      <protection hidden="1"/>
    </xf>
    <xf numFmtId="3" fontId="0" fillId="0" borderId="13" xfId="0" applyNumberFormat="1" applyFill="1" applyBorder="1" applyAlignment="1" applyProtection="1">
      <alignment horizontal="center" vertical="center"/>
      <protection hidden="1"/>
    </xf>
    <xf numFmtId="3" fontId="0" fillId="0" borderId="14" xfId="0" applyNumberFormat="1" applyFill="1" applyBorder="1" applyAlignment="1" applyProtection="1">
      <alignment horizontal="center" vertical="center"/>
      <protection hidden="1"/>
    </xf>
    <xf numFmtId="3" fontId="0" fillId="0" borderId="15" xfId="0" applyNumberFormat="1" applyFill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3" fontId="0" fillId="0" borderId="0" xfId="0" applyNumberFormat="1" applyFill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17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vertical="center" textRotation="255"/>
      <protection hidden="1"/>
    </xf>
    <xf numFmtId="0" fontId="0" fillId="0" borderId="0" xfId="0" applyNumberFormat="1" applyFill="1" applyBorder="1" applyAlignment="1" applyProtection="1">
      <alignment horizontal="center"/>
      <protection hidden="1"/>
    </xf>
    <xf numFmtId="164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vertical="center" textRotation="255"/>
      <protection hidden="1"/>
    </xf>
    <xf numFmtId="17" fontId="0" fillId="0" borderId="0" xfId="0" applyNumberFormat="1" applyBorder="1" applyAlignment="1" applyProtection="1">
      <alignment horizontal="center"/>
      <protection hidden="1"/>
    </xf>
    <xf numFmtId="0" fontId="2" fillId="0" borderId="0" xfId="0" applyFont="1" applyFill="1" applyAlignment="1" applyProtection="1">
      <alignment horizontal="center" vertical="center"/>
      <protection hidden="1"/>
    </xf>
    <xf numFmtId="3" fontId="0" fillId="0" borderId="1" xfId="0" applyNumberFormat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49" fontId="0" fillId="0" borderId="5" xfId="1" applyNumberFormat="1" applyFont="1" applyBorder="1" applyAlignment="1" applyProtection="1">
      <alignment horizontal="center" vertical="center"/>
      <protection hidden="1"/>
    </xf>
    <xf numFmtId="3" fontId="0" fillId="0" borderId="6" xfId="0" applyNumberFormat="1" applyBorder="1" applyAlignment="1" applyProtection="1">
      <alignment horizontal="center" vertical="center"/>
      <protection hidden="1"/>
    </xf>
    <xf numFmtId="3" fontId="0" fillId="0" borderId="7" xfId="0" applyNumberFormat="1" applyBorder="1" applyAlignment="1" applyProtection="1">
      <alignment horizontal="center" vertical="center"/>
      <protection hidden="1"/>
    </xf>
    <xf numFmtId="3" fontId="0" fillId="0" borderId="8" xfId="0" applyNumberFormat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49" fontId="0" fillId="0" borderId="9" xfId="0" applyNumberFormat="1" applyBorder="1" applyAlignment="1" applyProtection="1">
      <alignment horizontal="center" vertical="center"/>
      <protection hidden="1"/>
    </xf>
    <xf numFmtId="3" fontId="0" fillId="0" borderId="10" xfId="0" applyNumberFormat="1" applyBorder="1" applyAlignment="1" applyProtection="1">
      <alignment horizontal="center" vertical="center"/>
      <protection hidden="1"/>
    </xf>
    <xf numFmtId="3" fontId="0" fillId="0" borderId="0" xfId="0" applyNumberFormat="1" applyBorder="1" applyAlignment="1" applyProtection="1">
      <alignment horizontal="center" vertical="center"/>
      <protection hidden="1"/>
    </xf>
    <xf numFmtId="3" fontId="0" fillId="0" borderId="11" xfId="0" applyNumberFormat="1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49" fontId="0" fillId="0" borderId="12" xfId="0" applyNumberFormat="1" applyBorder="1" applyAlignment="1" applyProtection="1">
      <alignment horizontal="center" vertical="center"/>
      <protection hidden="1"/>
    </xf>
    <xf numFmtId="3" fontId="0" fillId="0" borderId="13" xfId="0" applyNumberFormat="1" applyBorder="1" applyAlignment="1" applyProtection="1">
      <alignment horizontal="center" vertical="center"/>
      <protection hidden="1"/>
    </xf>
    <xf numFmtId="3" fontId="0" fillId="0" borderId="14" xfId="0" applyNumberFormat="1" applyBorder="1" applyAlignment="1" applyProtection="1">
      <alignment horizontal="center" vertical="center"/>
      <protection hidden="1"/>
    </xf>
    <xf numFmtId="3" fontId="0" fillId="0" borderId="15" xfId="0" applyNumberFormat="1" applyBorder="1" applyAlignment="1" applyProtection="1">
      <alignment horizontal="center" vertical="center"/>
      <protection hidden="1"/>
    </xf>
    <xf numFmtId="3" fontId="0" fillId="0" borderId="0" xfId="0" applyNumberFormat="1" applyAlignment="1" applyProtection="1">
      <alignment horizontal="center" vertical="center"/>
      <protection hidden="1"/>
    </xf>
    <xf numFmtId="3" fontId="0" fillId="0" borderId="0" xfId="0" applyNumberFormat="1" applyProtection="1">
      <protection hidden="1"/>
    </xf>
    <xf numFmtId="4" fontId="0" fillId="0" borderId="0" xfId="0" quotePrefix="1" applyNumberFormat="1" applyFill="1" applyBorder="1" applyAlignment="1" applyProtection="1">
      <alignment horizontal="center" vertical="center"/>
      <protection hidden="1"/>
    </xf>
    <xf numFmtId="3" fontId="0" fillId="4" borderId="0" xfId="0" applyNumberFormat="1" applyFill="1" applyProtection="1">
      <protection hidden="1"/>
    </xf>
    <xf numFmtId="3" fontId="3" fillId="0" borderId="0" xfId="0" applyNumberFormat="1" applyFont="1" applyFill="1" applyAlignment="1" applyProtection="1">
      <alignment vertical="center"/>
      <protection hidden="1"/>
    </xf>
    <xf numFmtId="0" fontId="3" fillId="5" borderId="0" xfId="0" applyFont="1" applyFill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wrapText="1"/>
      <protection hidden="1"/>
    </xf>
    <xf numFmtId="0" fontId="0" fillId="6" borderId="5" xfId="0" applyFill="1" applyBorder="1" applyAlignment="1" applyProtection="1">
      <alignment horizontal="center" vertical="center"/>
      <protection hidden="1"/>
    </xf>
    <xf numFmtId="0" fontId="4" fillId="6" borderId="5" xfId="0" applyFont="1" applyFill="1" applyBorder="1" applyAlignment="1" applyProtection="1">
      <alignment horizontal="center" vertical="center" wrapText="1"/>
      <protection hidden="1"/>
    </xf>
    <xf numFmtId="0" fontId="5" fillId="6" borderId="5" xfId="0" applyFont="1" applyFill="1" applyBorder="1" applyAlignment="1" applyProtection="1">
      <alignment horizontal="center" vertical="center" wrapText="1"/>
      <protection hidden="1"/>
    </xf>
    <xf numFmtId="0" fontId="0" fillId="6" borderId="5" xfId="0" applyFont="1" applyFill="1" applyBorder="1" applyAlignment="1" applyProtection="1">
      <alignment horizontal="center" vertical="center" wrapText="1"/>
      <protection hidden="1"/>
    </xf>
    <xf numFmtId="0" fontId="0" fillId="6" borderId="6" xfId="0" applyFill="1" applyBorder="1" applyAlignment="1" applyProtection="1">
      <alignment horizontal="center" vertical="center"/>
      <protection hidden="1"/>
    </xf>
    <xf numFmtId="0" fontId="0" fillId="6" borderId="7" xfId="0" applyFill="1" applyBorder="1" applyAlignment="1" applyProtection="1">
      <alignment horizontal="center" vertical="center"/>
      <protection hidden="1"/>
    </xf>
    <xf numFmtId="0" fontId="0" fillId="6" borderId="8" xfId="0" applyFill="1" applyBorder="1" applyAlignment="1" applyProtection="1">
      <alignment horizontal="center" vertical="center"/>
      <protection hidden="1"/>
    </xf>
    <xf numFmtId="0" fontId="0" fillId="6" borderId="5" xfId="0" applyFill="1" applyBorder="1" applyAlignment="1" applyProtection="1">
      <alignment horizontal="center" vertical="center" wrapText="1"/>
      <protection hidden="1"/>
    </xf>
    <xf numFmtId="0" fontId="0" fillId="0" borderId="0" xfId="0" applyFill="1" applyBorder="1" applyAlignment="1" applyProtection="1">
      <alignment horizontal="center" vertical="center" wrapText="1"/>
      <protection hidden="1"/>
    </xf>
    <xf numFmtId="0" fontId="0" fillId="4" borderId="0" xfId="0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0" fillId="6" borderId="9" xfId="0" applyFill="1" applyBorder="1" applyAlignment="1" applyProtection="1">
      <alignment horizontal="center" vertical="center"/>
      <protection hidden="1"/>
    </xf>
    <xf numFmtId="0" fontId="4" fillId="6" borderId="9" xfId="0" applyFont="1" applyFill="1" applyBorder="1" applyAlignment="1" applyProtection="1">
      <alignment horizontal="center" vertical="center" wrapText="1"/>
      <protection hidden="1"/>
    </xf>
    <xf numFmtId="0" fontId="5" fillId="6" borderId="9" xfId="0" applyFont="1" applyFill="1" applyBorder="1" applyAlignment="1" applyProtection="1">
      <alignment horizontal="center" vertical="center" wrapText="1"/>
      <protection hidden="1"/>
    </xf>
    <xf numFmtId="0" fontId="0" fillId="6" borderId="9" xfId="0" applyFont="1" applyFill="1" applyBorder="1" applyAlignment="1" applyProtection="1">
      <alignment horizontal="center" vertical="center" wrapText="1"/>
      <protection hidden="1"/>
    </xf>
    <xf numFmtId="0" fontId="4" fillId="6" borderId="10" xfId="0" applyFont="1" applyFill="1" applyBorder="1" applyAlignment="1" applyProtection="1">
      <alignment horizontal="center" vertical="center" wrapText="1"/>
      <protection hidden="1"/>
    </xf>
    <xf numFmtId="0" fontId="4" fillId="7" borderId="16" xfId="0" applyFont="1" applyFill="1" applyBorder="1" applyAlignment="1" applyProtection="1">
      <alignment horizontal="center" vertical="center" wrapText="1"/>
      <protection hidden="1"/>
    </xf>
    <xf numFmtId="0" fontId="4" fillId="7" borderId="7" xfId="0" applyFont="1" applyFill="1" applyBorder="1" applyAlignment="1" applyProtection="1">
      <alignment horizontal="center" vertical="center" wrapText="1"/>
      <protection hidden="1"/>
    </xf>
    <xf numFmtId="0" fontId="4" fillId="7" borderId="17" xfId="0" applyFont="1" applyFill="1" applyBorder="1" applyAlignment="1" applyProtection="1">
      <alignment horizontal="center" vertical="center" wrapText="1"/>
      <protection hidden="1"/>
    </xf>
    <xf numFmtId="0" fontId="4" fillId="8" borderId="16" xfId="0" applyFont="1" applyFill="1" applyBorder="1" applyAlignment="1" applyProtection="1">
      <alignment horizontal="center" vertical="center" wrapText="1"/>
      <protection hidden="1"/>
    </xf>
    <xf numFmtId="0" fontId="4" fillId="8" borderId="7" xfId="0" applyFont="1" applyFill="1" applyBorder="1" applyAlignment="1" applyProtection="1">
      <alignment horizontal="center" vertical="center" wrapText="1"/>
      <protection hidden="1"/>
    </xf>
    <xf numFmtId="0" fontId="4" fillId="8" borderId="17" xfId="0" applyFont="1" applyFill="1" applyBorder="1" applyAlignment="1" applyProtection="1">
      <alignment horizontal="center" vertical="center" wrapText="1"/>
      <protection hidden="1"/>
    </xf>
    <xf numFmtId="0" fontId="4" fillId="9" borderId="16" xfId="0" applyFont="1" applyFill="1" applyBorder="1" applyAlignment="1" applyProtection="1">
      <alignment horizontal="center" vertical="center" wrapText="1"/>
      <protection hidden="1"/>
    </xf>
    <xf numFmtId="0" fontId="4" fillId="9" borderId="7" xfId="0" applyFont="1" applyFill="1" applyBorder="1" applyAlignment="1" applyProtection="1">
      <alignment horizontal="center" vertical="center" wrapText="1"/>
      <protection hidden="1"/>
    </xf>
    <xf numFmtId="0" fontId="4" fillId="9" borderId="17" xfId="0" applyFont="1" applyFill="1" applyBorder="1" applyAlignment="1" applyProtection="1">
      <alignment horizontal="center" vertical="center" wrapText="1"/>
      <protection hidden="1"/>
    </xf>
    <xf numFmtId="0" fontId="0" fillId="6" borderId="11" xfId="0" applyFill="1" applyBorder="1" applyAlignment="1" applyProtection="1">
      <alignment horizontal="center" vertical="center" wrapText="1"/>
      <protection hidden="1"/>
    </xf>
    <xf numFmtId="0" fontId="0" fillId="6" borderId="9" xfId="0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0" fillId="0" borderId="0" xfId="0" applyFont="1" applyProtection="1">
      <protection hidden="1"/>
    </xf>
    <xf numFmtId="0" fontId="0" fillId="6" borderId="18" xfId="0" applyFill="1" applyBorder="1" applyAlignment="1" applyProtection="1">
      <alignment horizontal="center" vertical="center" textRotation="255"/>
      <protection hidden="1"/>
    </xf>
    <xf numFmtId="17" fontId="0" fillId="0" borderId="19" xfId="0" applyNumberFormat="1" applyFill="1" applyBorder="1" applyAlignment="1" applyProtection="1">
      <alignment horizontal="center" vertical="center"/>
      <protection hidden="1"/>
    </xf>
    <xf numFmtId="0" fontId="0" fillId="4" borderId="20" xfId="0" applyFill="1" applyBorder="1" applyAlignment="1" applyProtection="1">
      <alignment horizontal="center" vertical="center"/>
      <protection hidden="1"/>
    </xf>
    <xf numFmtId="4" fontId="0" fillId="0" borderId="20" xfId="0" quotePrefix="1" applyNumberFormat="1" applyFill="1" applyBorder="1" applyAlignment="1" applyProtection="1">
      <alignment horizontal="center" vertical="center"/>
      <protection hidden="1"/>
    </xf>
    <xf numFmtId="4" fontId="0" fillId="0" borderId="20" xfId="0" applyNumberFormat="1" applyFill="1" applyBorder="1" applyAlignment="1" applyProtection="1">
      <alignment horizontal="center" vertical="center"/>
      <protection hidden="1"/>
    </xf>
    <xf numFmtId="4" fontId="0" fillId="7" borderId="20" xfId="0" applyNumberFormat="1" applyFill="1" applyBorder="1" applyAlignment="1" applyProtection="1">
      <alignment horizontal="center" vertical="center"/>
      <protection hidden="1"/>
    </xf>
    <xf numFmtId="165" fontId="0" fillId="7" borderId="20" xfId="0" quotePrefix="1" applyNumberFormat="1" applyFill="1" applyBorder="1" applyAlignment="1" applyProtection="1">
      <alignment horizontal="center" vertical="center"/>
      <protection hidden="1"/>
    </xf>
    <xf numFmtId="4" fontId="0" fillId="8" borderId="20" xfId="0" applyNumberFormat="1" applyFill="1" applyBorder="1" applyAlignment="1" applyProtection="1">
      <alignment horizontal="center" vertical="center"/>
      <protection hidden="1"/>
    </xf>
    <xf numFmtId="165" fontId="0" fillId="8" borderId="20" xfId="0" quotePrefix="1" applyNumberFormat="1" applyFill="1" applyBorder="1" applyAlignment="1" applyProtection="1">
      <alignment horizontal="center" vertical="center"/>
      <protection hidden="1"/>
    </xf>
    <xf numFmtId="4" fontId="0" fillId="9" borderId="20" xfId="0" applyNumberFormat="1" applyFill="1" applyBorder="1" applyAlignment="1" applyProtection="1">
      <alignment horizontal="center" vertical="center"/>
      <protection hidden="1"/>
    </xf>
    <xf numFmtId="165" fontId="0" fillId="9" borderId="20" xfId="0" quotePrefix="1" applyNumberFormat="1" applyFill="1" applyBorder="1" applyAlignment="1" applyProtection="1">
      <alignment horizontal="center" vertical="center"/>
      <protection hidden="1"/>
    </xf>
    <xf numFmtId="4" fontId="0" fillId="0" borderId="21" xfId="0" applyNumberFormat="1" applyFill="1" applyBorder="1" applyAlignment="1" applyProtection="1">
      <alignment horizontal="center" vertical="center"/>
      <protection hidden="1"/>
    </xf>
    <xf numFmtId="4" fontId="0" fillId="0" borderId="0" xfId="0" applyNumberFormat="1" applyFill="1" applyBorder="1" applyAlignment="1" applyProtection="1">
      <alignment horizontal="center" vertical="center"/>
      <protection hidden="1"/>
    </xf>
    <xf numFmtId="4" fontId="0" fillId="4" borderId="0" xfId="0" applyNumberFormat="1" applyFill="1" applyBorder="1" applyAlignment="1" applyProtection="1">
      <alignment horizontal="center" vertical="center"/>
      <protection hidden="1"/>
    </xf>
    <xf numFmtId="4" fontId="0" fillId="0" borderId="0" xfId="0" applyNumberFormat="1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4" fontId="0" fillId="0" borderId="0" xfId="0" applyNumberFormat="1" applyAlignment="1" applyProtection="1">
      <alignment horizontal="center" vertical="center"/>
      <protection hidden="1"/>
    </xf>
    <xf numFmtId="4" fontId="0" fillId="0" borderId="19" xfId="0" applyNumberFormat="1" applyBorder="1" applyAlignment="1" applyProtection="1">
      <alignment horizontal="center" vertical="center"/>
      <protection hidden="1"/>
    </xf>
    <xf numFmtId="4" fontId="0" fillId="0" borderId="21" xfId="0" applyNumberFormat="1" applyBorder="1" applyAlignment="1" applyProtection="1">
      <alignment horizontal="center" vertical="center"/>
      <protection hidden="1"/>
    </xf>
    <xf numFmtId="0" fontId="0" fillId="6" borderId="22" xfId="0" applyFill="1" applyBorder="1" applyAlignment="1" applyProtection="1">
      <alignment horizontal="center" vertical="center" textRotation="255"/>
      <protection hidden="1"/>
    </xf>
    <xf numFmtId="17" fontId="0" fillId="0" borderId="23" xfId="0" applyNumberFormat="1" applyBorder="1" applyAlignment="1" applyProtection="1">
      <alignment horizontal="center" vertical="center"/>
      <protection hidden="1"/>
    </xf>
    <xf numFmtId="4" fontId="0" fillId="4" borderId="24" xfId="0" applyNumberFormat="1" applyFill="1" applyBorder="1" applyAlignment="1" applyProtection="1">
      <alignment horizontal="center" vertical="center"/>
      <protection hidden="1"/>
    </xf>
    <xf numFmtId="4" fontId="0" fillId="0" borderId="24" xfId="0" applyNumberFormat="1" applyBorder="1" applyAlignment="1" applyProtection="1">
      <alignment horizontal="center" vertical="center"/>
      <protection hidden="1"/>
    </xf>
    <xf numFmtId="4" fontId="0" fillId="7" borderId="24" xfId="0" applyNumberFormat="1" applyFill="1" applyBorder="1" applyAlignment="1" applyProtection="1">
      <alignment horizontal="center" vertical="center"/>
      <protection hidden="1"/>
    </xf>
    <xf numFmtId="165" fontId="0" fillId="7" borderId="24" xfId="0" applyNumberFormat="1" applyFill="1" applyBorder="1" applyAlignment="1" applyProtection="1">
      <alignment horizontal="center" vertical="center"/>
      <protection hidden="1"/>
    </xf>
    <xf numFmtId="4" fontId="0" fillId="8" borderId="24" xfId="0" applyNumberFormat="1" applyFill="1" applyBorder="1" applyAlignment="1" applyProtection="1">
      <alignment horizontal="center" vertical="center"/>
      <protection hidden="1"/>
    </xf>
    <xf numFmtId="165" fontId="0" fillId="8" borderId="24" xfId="0" applyNumberFormat="1" applyFill="1" applyBorder="1" applyAlignment="1" applyProtection="1">
      <alignment horizontal="center" vertical="center"/>
      <protection hidden="1"/>
    </xf>
    <xf numFmtId="4" fontId="0" fillId="9" borderId="24" xfId="0" applyNumberFormat="1" applyFill="1" applyBorder="1" applyAlignment="1" applyProtection="1">
      <alignment horizontal="center" vertical="center"/>
      <protection hidden="1"/>
    </xf>
    <xf numFmtId="165" fontId="0" fillId="9" borderId="24" xfId="0" applyNumberFormat="1" applyFill="1" applyBorder="1" applyAlignment="1" applyProtection="1">
      <alignment horizontal="center" vertical="center"/>
      <protection hidden="1"/>
    </xf>
    <xf numFmtId="4" fontId="0" fillId="0" borderId="25" xfId="0" applyNumberFormat="1" applyBorder="1" applyAlignment="1" applyProtection="1">
      <alignment horizontal="center" vertical="center"/>
      <protection hidden="1"/>
    </xf>
    <xf numFmtId="4" fontId="0" fillId="0" borderId="0" xfId="0" applyNumberFormat="1" applyBorder="1" applyAlignment="1" applyProtection="1">
      <alignment horizontal="center" vertical="center"/>
      <protection hidden="1"/>
    </xf>
    <xf numFmtId="4" fontId="0" fillId="0" borderId="0" xfId="0" applyNumberFormat="1" applyProtection="1">
      <protection hidden="1"/>
    </xf>
    <xf numFmtId="4" fontId="0" fillId="0" borderId="23" xfId="0" applyNumberFormat="1" applyBorder="1" applyAlignment="1" applyProtection="1">
      <alignment horizontal="center" vertical="center"/>
      <protection hidden="1"/>
    </xf>
    <xf numFmtId="0" fontId="0" fillId="6" borderId="26" xfId="0" applyFill="1" applyBorder="1" applyAlignment="1" applyProtection="1">
      <alignment horizontal="center" vertical="center" textRotation="255"/>
      <protection hidden="1"/>
    </xf>
    <xf numFmtId="17" fontId="0" fillId="0" borderId="27" xfId="0" applyNumberFormat="1" applyBorder="1" applyAlignment="1" applyProtection="1">
      <alignment horizontal="center" vertical="center"/>
      <protection hidden="1"/>
    </xf>
    <xf numFmtId="4" fontId="0" fillId="4" borderId="28" xfId="0" applyNumberFormat="1" applyFill="1" applyBorder="1" applyAlignment="1" applyProtection="1">
      <alignment horizontal="center" vertical="center"/>
      <protection hidden="1"/>
    </xf>
    <xf numFmtId="4" fontId="0" fillId="0" borderId="28" xfId="0" applyNumberFormat="1" applyBorder="1" applyAlignment="1" applyProtection="1">
      <alignment horizontal="center" vertical="center"/>
      <protection hidden="1"/>
    </xf>
    <xf numFmtId="4" fontId="0" fillId="7" borderId="28" xfId="0" applyNumberFormat="1" applyFill="1" applyBorder="1" applyAlignment="1" applyProtection="1">
      <alignment horizontal="center" vertical="center"/>
      <protection hidden="1"/>
    </xf>
    <xf numFmtId="165" fontId="0" fillId="7" borderId="28" xfId="0" applyNumberFormat="1" applyFill="1" applyBorder="1" applyAlignment="1" applyProtection="1">
      <alignment horizontal="center" vertical="center"/>
      <protection hidden="1"/>
    </xf>
    <xf numFmtId="4" fontId="0" fillId="8" borderId="28" xfId="0" applyNumberFormat="1" applyFill="1" applyBorder="1" applyAlignment="1" applyProtection="1">
      <alignment horizontal="center" vertical="center"/>
      <protection hidden="1"/>
    </xf>
    <xf numFmtId="165" fontId="0" fillId="8" borderId="28" xfId="0" applyNumberFormat="1" applyFill="1" applyBorder="1" applyAlignment="1" applyProtection="1">
      <alignment horizontal="center" vertical="center"/>
      <protection hidden="1"/>
    </xf>
    <xf numFmtId="4" fontId="0" fillId="9" borderId="28" xfId="0" applyNumberFormat="1" applyFill="1" applyBorder="1" applyAlignment="1" applyProtection="1">
      <alignment horizontal="center" vertical="center"/>
      <protection hidden="1"/>
    </xf>
    <xf numFmtId="165" fontId="0" fillId="9" borderId="28" xfId="0" applyNumberFormat="1" applyFill="1" applyBorder="1" applyAlignment="1" applyProtection="1">
      <alignment horizontal="center" vertical="center"/>
      <protection hidden="1"/>
    </xf>
    <xf numFmtId="4" fontId="0" fillId="0" borderId="29" xfId="0" applyNumberFormat="1" applyBorder="1" applyAlignment="1" applyProtection="1">
      <alignment horizontal="center" vertical="center"/>
      <protection hidden="1"/>
    </xf>
    <xf numFmtId="4" fontId="0" fillId="0" borderId="27" xfId="0" applyNumberFormat="1" applyBorder="1" applyAlignment="1" applyProtection="1">
      <alignment horizontal="center" vertical="center"/>
      <protection hidden="1"/>
    </xf>
    <xf numFmtId="17" fontId="0" fillId="0" borderId="19" xfId="0" applyNumberFormat="1" applyBorder="1" applyAlignment="1" applyProtection="1">
      <alignment horizontal="center" vertical="center"/>
      <protection hidden="1"/>
    </xf>
    <xf numFmtId="4" fontId="0" fillId="4" borderId="20" xfId="0" applyNumberFormat="1" applyFill="1" applyBorder="1" applyAlignment="1" applyProtection="1">
      <alignment horizontal="center" vertical="center"/>
      <protection hidden="1"/>
    </xf>
    <xf numFmtId="4" fontId="0" fillId="0" borderId="20" xfId="0" applyNumberFormat="1" applyBorder="1" applyAlignment="1" applyProtection="1">
      <alignment horizontal="center" vertical="center"/>
      <protection hidden="1"/>
    </xf>
    <xf numFmtId="165" fontId="0" fillId="7" borderId="20" xfId="0" applyNumberFormat="1" applyFill="1" applyBorder="1" applyAlignment="1" applyProtection="1">
      <alignment horizontal="center" vertical="center"/>
      <protection hidden="1"/>
    </xf>
    <xf numFmtId="165" fontId="0" fillId="8" borderId="20" xfId="0" applyNumberFormat="1" applyFill="1" applyBorder="1" applyAlignment="1" applyProtection="1">
      <alignment horizontal="center" vertical="center"/>
      <protection hidden="1"/>
    </xf>
    <xf numFmtId="165" fontId="0" fillId="9" borderId="20" xfId="0" applyNumberFormat="1" applyFill="1" applyBorder="1" applyAlignment="1" applyProtection="1">
      <alignment horizontal="center" vertical="center"/>
      <protection hidden="1"/>
    </xf>
    <xf numFmtId="4" fontId="4" fillId="0" borderId="0" xfId="0" applyNumberFormat="1" applyFont="1" applyFill="1" applyAlignment="1" applyProtection="1">
      <alignment horizontal="center" vertical="center"/>
      <protection hidden="1"/>
    </xf>
    <xf numFmtId="4" fontId="4" fillId="0" borderId="0" xfId="0" applyNumberFormat="1" applyFont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0" fillId="0" borderId="0" xfId="0" applyFill="1" applyBorder="1" applyProtection="1">
      <protection hidden="1"/>
    </xf>
    <xf numFmtId="17" fontId="0" fillId="0" borderId="24" xfId="0" applyNumberFormat="1" applyFill="1" applyBorder="1" applyAlignment="1" applyProtection="1">
      <alignment horizontal="center" vertical="center"/>
      <protection hidden="1"/>
    </xf>
    <xf numFmtId="0" fontId="0" fillId="0" borderId="24" xfId="0" applyBorder="1" applyAlignment="1" applyProtection="1">
      <alignment horizontal="center"/>
      <protection hidden="1"/>
    </xf>
    <xf numFmtId="4" fontId="0" fillId="0" borderId="24" xfId="0" applyNumberFormat="1" applyBorder="1" applyAlignment="1" applyProtection="1">
      <alignment horizontal="center"/>
      <protection hidden="1"/>
    </xf>
    <xf numFmtId="0" fontId="0" fillId="0" borderId="24" xfId="0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50" Type="http://schemas.openxmlformats.org/officeDocument/2006/relationships/externalLink" Target="externalLinks/externalLink47.xml"/><Relationship Id="rId55" Type="http://schemas.openxmlformats.org/officeDocument/2006/relationships/externalLink" Target="externalLinks/externalLink52.xml"/><Relationship Id="rId63" Type="http://schemas.openxmlformats.org/officeDocument/2006/relationships/externalLink" Target="externalLinks/externalLink60.xml"/><Relationship Id="rId68" Type="http://schemas.openxmlformats.org/officeDocument/2006/relationships/externalLink" Target="externalLinks/externalLink65.xml"/><Relationship Id="rId76" Type="http://schemas.openxmlformats.org/officeDocument/2006/relationships/externalLink" Target="externalLinks/externalLink73.xml"/><Relationship Id="rId84" Type="http://schemas.openxmlformats.org/officeDocument/2006/relationships/calcChain" Target="calcChain.xml"/><Relationship Id="rId7" Type="http://schemas.openxmlformats.org/officeDocument/2006/relationships/externalLink" Target="externalLinks/externalLink4.xml"/><Relationship Id="rId71" Type="http://schemas.openxmlformats.org/officeDocument/2006/relationships/externalLink" Target="externalLinks/externalLink6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9" Type="http://schemas.openxmlformats.org/officeDocument/2006/relationships/externalLink" Target="externalLinks/externalLink26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53" Type="http://schemas.openxmlformats.org/officeDocument/2006/relationships/externalLink" Target="externalLinks/externalLink50.xml"/><Relationship Id="rId58" Type="http://schemas.openxmlformats.org/officeDocument/2006/relationships/externalLink" Target="externalLinks/externalLink55.xml"/><Relationship Id="rId66" Type="http://schemas.openxmlformats.org/officeDocument/2006/relationships/externalLink" Target="externalLinks/externalLink63.xml"/><Relationship Id="rId74" Type="http://schemas.openxmlformats.org/officeDocument/2006/relationships/externalLink" Target="externalLinks/externalLink71.xml"/><Relationship Id="rId79" Type="http://schemas.openxmlformats.org/officeDocument/2006/relationships/externalLink" Target="externalLinks/externalLink76.xml"/><Relationship Id="rId5" Type="http://schemas.openxmlformats.org/officeDocument/2006/relationships/externalLink" Target="externalLinks/externalLink2.xml"/><Relationship Id="rId61" Type="http://schemas.openxmlformats.org/officeDocument/2006/relationships/externalLink" Target="externalLinks/externalLink58.xml"/><Relationship Id="rId82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externalLink" Target="externalLinks/externalLink49.xml"/><Relationship Id="rId60" Type="http://schemas.openxmlformats.org/officeDocument/2006/relationships/externalLink" Target="externalLinks/externalLink57.xml"/><Relationship Id="rId65" Type="http://schemas.openxmlformats.org/officeDocument/2006/relationships/externalLink" Target="externalLinks/externalLink62.xml"/><Relationship Id="rId73" Type="http://schemas.openxmlformats.org/officeDocument/2006/relationships/externalLink" Target="externalLinks/externalLink70.xml"/><Relationship Id="rId78" Type="http://schemas.openxmlformats.org/officeDocument/2006/relationships/externalLink" Target="externalLinks/externalLink75.xml"/><Relationship Id="rId81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56" Type="http://schemas.openxmlformats.org/officeDocument/2006/relationships/externalLink" Target="externalLinks/externalLink53.xml"/><Relationship Id="rId64" Type="http://schemas.openxmlformats.org/officeDocument/2006/relationships/externalLink" Target="externalLinks/externalLink61.xml"/><Relationship Id="rId69" Type="http://schemas.openxmlformats.org/officeDocument/2006/relationships/externalLink" Target="externalLinks/externalLink66.xml"/><Relationship Id="rId77" Type="http://schemas.openxmlformats.org/officeDocument/2006/relationships/externalLink" Target="externalLinks/externalLink74.xml"/><Relationship Id="rId8" Type="http://schemas.openxmlformats.org/officeDocument/2006/relationships/externalLink" Target="externalLinks/externalLink5.xml"/><Relationship Id="rId51" Type="http://schemas.openxmlformats.org/officeDocument/2006/relationships/externalLink" Target="externalLinks/externalLink48.xml"/><Relationship Id="rId72" Type="http://schemas.openxmlformats.org/officeDocument/2006/relationships/externalLink" Target="externalLinks/externalLink69.xml"/><Relationship Id="rId80" Type="http://schemas.openxmlformats.org/officeDocument/2006/relationships/externalLink" Target="externalLinks/externalLink77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59" Type="http://schemas.openxmlformats.org/officeDocument/2006/relationships/externalLink" Target="externalLinks/externalLink56.xml"/><Relationship Id="rId67" Type="http://schemas.openxmlformats.org/officeDocument/2006/relationships/externalLink" Target="externalLinks/externalLink64.xml"/><Relationship Id="rId20" Type="http://schemas.openxmlformats.org/officeDocument/2006/relationships/externalLink" Target="externalLinks/externalLink17.xml"/><Relationship Id="rId41" Type="http://schemas.openxmlformats.org/officeDocument/2006/relationships/externalLink" Target="externalLinks/externalLink38.xml"/><Relationship Id="rId54" Type="http://schemas.openxmlformats.org/officeDocument/2006/relationships/externalLink" Target="externalLinks/externalLink51.xml"/><Relationship Id="rId62" Type="http://schemas.openxmlformats.org/officeDocument/2006/relationships/externalLink" Target="externalLinks/externalLink59.xml"/><Relationship Id="rId70" Type="http://schemas.openxmlformats.org/officeDocument/2006/relationships/externalLink" Target="externalLinks/externalLink67.xml"/><Relationship Id="rId75" Type="http://schemas.openxmlformats.org/officeDocument/2006/relationships/externalLink" Target="externalLinks/externalLink72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externalLink" Target="externalLinks/externalLink46.xml"/><Relationship Id="rId57" Type="http://schemas.openxmlformats.org/officeDocument/2006/relationships/externalLink" Target="externalLinks/externalLink5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PT" sz="1200"/>
              <a:t>Consumo médio mensal/área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Mod_1!$AB$5</c:f>
              <c:strCache>
                <c:ptCount val="1"/>
                <c:pt idx="0">
                  <c:v>kWh/m2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Mod_1!$X$5:$X$16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Mod_1!$Z$5:$Z$16</c:f>
              <c:numCache>
                <c:formatCode>#,##0.00</c:formatCode>
                <c:ptCount val="12"/>
                <c:pt idx="0">
                  <c:v>7.0444132182828207</c:v>
                </c:pt>
                <c:pt idx="1">
                  <c:v>6.2515539290975761</c:v>
                </c:pt>
                <c:pt idx="2">
                  <c:v>6.0214238734817771</c:v>
                </c:pt>
                <c:pt idx="3">
                  <c:v>5.1109072860420879</c:v>
                </c:pt>
                <c:pt idx="4">
                  <c:v>5.2855292419072102</c:v>
                </c:pt>
                <c:pt idx="5">
                  <c:v>5.3800095633727558</c:v>
                </c:pt>
                <c:pt idx="6">
                  <c:v>5.6288194870803041</c:v>
                </c:pt>
                <c:pt idx="7">
                  <c:v>4.8512995551543465</c:v>
                </c:pt>
                <c:pt idx="8">
                  <c:v>5.4008494562580465</c:v>
                </c:pt>
                <c:pt idx="9">
                  <c:v>5.1723782656828279</c:v>
                </c:pt>
                <c:pt idx="10">
                  <c:v>5.5751637742592424</c:v>
                </c:pt>
                <c:pt idx="11">
                  <c:v>5.9438837251795489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7320320"/>
        <c:axId val="137321856"/>
      </c:barChart>
      <c:catAx>
        <c:axId val="137320320"/>
        <c:scaling>
          <c:orientation val="minMax"/>
        </c:scaling>
        <c:delete val="0"/>
        <c:axPos val="b"/>
        <c:majorTickMark val="out"/>
        <c:minorTickMark val="none"/>
        <c:tickLblPos val="nextTo"/>
        <c:crossAx val="137321856"/>
        <c:crosses val="autoZero"/>
        <c:auto val="1"/>
        <c:lblAlgn val="ctr"/>
        <c:lblOffset val="100"/>
        <c:noMultiLvlLbl val="0"/>
      </c:catAx>
      <c:valAx>
        <c:axId val="137321856"/>
        <c:scaling>
          <c:orientation val="minMax"/>
          <c:max val="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layout/>
          <c:overlay val="0"/>
        </c:title>
        <c:numFmt formatCode="#,##0.00" sourceLinked="1"/>
        <c:majorTickMark val="out"/>
        <c:minorTickMark val="none"/>
        <c:tickLblPos val="nextTo"/>
        <c:crossAx val="137320320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Consumo Médio Global Mensal/Área - "Antes"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Kwh/m2</c:v>
          </c:tx>
          <c:spPr>
            <a:solidFill>
              <a:schemeClr val="accent1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Chillers_1!$C$8:$C$19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Chillers_1!$E$8:$E$19</c:f>
              <c:numCache>
                <c:formatCode>#,##0.00</c:formatCode>
                <c:ptCount val="12"/>
                <c:pt idx="0">
                  <c:v>7.4730717393500736</c:v>
                </c:pt>
                <c:pt idx="1">
                  <c:v>6.4670118239208705</c:v>
                </c:pt>
                <c:pt idx="2">
                  <c:v>6.3696417332723776</c:v>
                </c:pt>
                <c:pt idx="3">
                  <c:v>5.3363212001982951</c:v>
                </c:pt>
                <c:pt idx="4">
                  <c:v>5.4543643396412858</c:v>
                </c:pt>
                <c:pt idx="5">
                  <c:v>5.6024599154385717</c:v>
                </c:pt>
                <c:pt idx="6">
                  <c:v>5.8540206693882011</c:v>
                </c:pt>
                <c:pt idx="7">
                  <c:v>5.2137795951209407</c:v>
                </c:pt>
                <c:pt idx="8">
                  <c:v>5.564461642618161</c:v>
                </c:pt>
                <c:pt idx="9">
                  <c:v>5.3249265698415105</c:v>
                </c:pt>
                <c:pt idx="10">
                  <c:v>5.9882782770518537</c:v>
                </c:pt>
                <c:pt idx="11">
                  <c:v>6.5034473987032717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7656576"/>
        <c:axId val="137703424"/>
      </c:barChart>
      <c:catAx>
        <c:axId val="137656576"/>
        <c:scaling>
          <c:orientation val="minMax"/>
        </c:scaling>
        <c:delete val="0"/>
        <c:axPos val="b"/>
        <c:majorTickMark val="out"/>
        <c:minorTickMark val="none"/>
        <c:tickLblPos val="nextTo"/>
        <c:crossAx val="137703424"/>
        <c:crosses val="autoZero"/>
        <c:auto val="1"/>
        <c:lblAlgn val="ctr"/>
        <c:lblOffset val="100"/>
        <c:noMultiLvlLbl val="0"/>
      </c:catAx>
      <c:valAx>
        <c:axId val="137703424"/>
        <c:scaling>
          <c:orientation val="minMax"/>
          <c:max val="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layout/>
          <c:overlay val="0"/>
        </c:title>
        <c:numFmt formatCode="#,##0.00" sourceLinked="1"/>
        <c:majorTickMark val="out"/>
        <c:minorTickMark val="none"/>
        <c:tickLblPos val="nextTo"/>
        <c:crossAx val="137656576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Consumo Médio Global Mensal/Área - "Depois"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Kwh/m2</c:v>
          </c:tx>
          <c:spPr>
            <a:solidFill>
              <a:srgbClr val="C0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Chillers_1!$G$8:$G$19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Chillers_1!$I$8:$I$19</c:f>
              <c:numCache>
                <c:formatCode>#,##0.00</c:formatCode>
                <c:ptCount val="12"/>
                <c:pt idx="0">
                  <c:v>4.9011206129465554</c:v>
                </c:pt>
                <c:pt idx="1">
                  <c:v>5.1742644549811079</c:v>
                </c:pt>
                <c:pt idx="2">
                  <c:v>4.28033457452878</c:v>
                </c:pt>
                <c:pt idx="3">
                  <c:v>3.9838377152610547</c:v>
                </c:pt>
                <c:pt idx="4">
                  <c:v>4.4413537532368341</c:v>
                </c:pt>
                <c:pt idx="5">
                  <c:v>4.2677578030436747</c:v>
                </c:pt>
                <c:pt idx="6">
                  <c:v>4.5028135755408227</c:v>
                </c:pt>
                <c:pt idx="7">
                  <c:v>3.0388993553213766</c:v>
                </c:pt>
                <c:pt idx="8">
                  <c:v>4.5827885244574702</c:v>
                </c:pt>
                <c:pt idx="9">
                  <c:v>4.4096367448894158</c:v>
                </c:pt>
                <c:pt idx="10">
                  <c:v>4.7489347686740206</c:v>
                </c:pt>
                <c:pt idx="11">
                  <c:v>4.8247563781321006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7720192"/>
        <c:axId val="137721728"/>
      </c:barChart>
      <c:catAx>
        <c:axId val="137720192"/>
        <c:scaling>
          <c:orientation val="minMax"/>
        </c:scaling>
        <c:delete val="0"/>
        <c:axPos val="b"/>
        <c:majorTickMark val="out"/>
        <c:minorTickMark val="none"/>
        <c:tickLblPos val="nextTo"/>
        <c:crossAx val="137721728"/>
        <c:crosses val="autoZero"/>
        <c:auto val="1"/>
        <c:lblAlgn val="ctr"/>
        <c:lblOffset val="100"/>
        <c:noMultiLvlLbl val="0"/>
      </c:catAx>
      <c:valAx>
        <c:axId val="137721728"/>
        <c:scaling>
          <c:orientation val="minMax"/>
          <c:max val="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layout/>
          <c:overlay val="0"/>
        </c:title>
        <c:numFmt formatCode="#,##0.00" sourceLinked="1"/>
        <c:majorTickMark val="out"/>
        <c:minorTickMark val="none"/>
        <c:tickLblPos val="nextTo"/>
        <c:crossAx val="137720192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Consumo Médio Global Mensal/Área - "</a:t>
            </a:r>
            <a:r>
              <a:rPr lang="en-US" sz="1200">
                <a:solidFill>
                  <a:sysClr val="windowText" lastClr="000000"/>
                </a:solidFill>
              </a:rPr>
              <a:t>Antes&amp;Depois</a:t>
            </a:r>
            <a:r>
              <a:rPr lang="en-US" sz="1200"/>
              <a:t>"</a:t>
            </a:r>
            <a:endParaRPr lang="pt-PT" sz="12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Kwh/m2</c:v>
          </c:tx>
          <c:spPr>
            <a:solidFill>
              <a:schemeClr val="accent1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Chillers_1!$C$8:$C$19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Chillers_1!$E$8:$E$19</c:f>
              <c:numCache>
                <c:formatCode>#,##0.00</c:formatCode>
                <c:ptCount val="12"/>
                <c:pt idx="0">
                  <c:v>7.4730717393500736</c:v>
                </c:pt>
                <c:pt idx="1">
                  <c:v>6.4670118239208705</c:v>
                </c:pt>
                <c:pt idx="2">
                  <c:v>6.3696417332723776</c:v>
                </c:pt>
                <c:pt idx="3">
                  <c:v>5.3363212001982951</c:v>
                </c:pt>
                <c:pt idx="4">
                  <c:v>5.4543643396412858</c:v>
                </c:pt>
                <c:pt idx="5">
                  <c:v>5.6024599154385717</c:v>
                </c:pt>
                <c:pt idx="6">
                  <c:v>5.8540206693882011</c:v>
                </c:pt>
                <c:pt idx="7">
                  <c:v>5.2137795951209407</c:v>
                </c:pt>
                <c:pt idx="8">
                  <c:v>5.564461642618161</c:v>
                </c:pt>
                <c:pt idx="9">
                  <c:v>5.3249265698415105</c:v>
                </c:pt>
                <c:pt idx="10">
                  <c:v>5.9882782770518537</c:v>
                </c:pt>
                <c:pt idx="11">
                  <c:v>6.5034473987032717</c:v>
                </c:pt>
              </c:numCache>
            </c:numRef>
          </c:val>
        </c:ser>
        <c:ser>
          <c:idx val="1"/>
          <c:order val="1"/>
          <c:tx>
            <c:v>Kwh/m2</c:v>
          </c:tx>
          <c:spPr>
            <a:solidFill>
              <a:srgbClr val="C00000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Chillers_1!$I$8:$I$19</c:f>
              <c:numCache>
                <c:formatCode>#,##0.00</c:formatCode>
                <c:ptCount val="12"/>
                <c:pt idx="0">
                  <c:v>4.9011206129465554</c:v>
                </c:pt>
                <c:pt idx="1">
                  <c:v>5.1742644549811079</c:v>
                </c:pt>
                <c:pt idx="2">
                  <c:v>4.28033457452878</c:v>
                </c:pt>
                <c:pt idx="3">
                  <c:v>3.9838377152610547</c:v>
                </c:pt>
                <c:pt idx="4">
                  <c:v>4.4413537532368341</c:v>
                </c:pt>
                <c:pt idx="5">
                  <c:v>4.2677578030436747</c:v>
                </c:pt>
                <c:pt idx="6">
                  <c:v>4.5028135755408227</c:v>
                </c:pt>
                <c:pt idx="7">
                  <c:v>3.0388993553213766</c:v>
                </c:pt>
                <c:pt idx="8">
                  <c:v>4.5827885244574702</c:v>
                </c:pt>
                <c:pt idx="9">
                  <c:v>4.4096367448894158</c:v>
                </c:pt>
                <c:pt idx="10">
                  <c:v>4.7489347686740206</c:v>
                </c:pt>
                <c:pt idx="11">
                  <c:v>4.8247563781321006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7751936"/>
        <c:axId val="137823360"/>
      </c:barChart>
      <c:catAx>
        <c:axId val="1377519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37823360"/>
        <c:crosses val="autoZero"/>
        <c:auto val="1"/>
        <c:lblAlgn val="ctr"/>
        <c:lblOffset val="100"/>
        <c:noMultiLvlLbl val="0"/>
      </c:catAx>
      <c:valAx>
        <c:axId val="137823360"/>
        <c:scaling>
          <c:orientation val="minMax"/>
          <c:max val="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crossAx val="137751936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Consumo Médio  Mensal de AC Frio/Área  - "Antes"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Kwh/m2</c:v>
          </c:tx>
          <c:spPr>
            <a:solidFill>
              <a:schemeClr val="accent1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Chillers_1!$C$24:$C$35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Chillers_1!$E$24:$E$35</c:f>
              <c:numCache>
                <c:formatCode>#,##0.00</c:formatCode>
                <c:ptCount val="12"/>
                <c:pt idx="0">
                  <c:v>1.7282914370093916</c:v>
                </c:pt>
                <c:pt idx="1">
                  <c:v>1.5904637445509711</c:v>
                </c:pt>
                <c:pt idx="2">
                  <c:v>1.8209316472251953</c:v>
                </c:pt>
                <c:pt idx="3">
                  <c:v>1.8159496439010234</c:v>
                </c:pt>
                <c:pt idx="4">
                  <c:v>2.0794245988977442</c:v>
                </c:pt>
                <c:pt idx="5">
                  <c:v>2.4119591059157495</c:v>
                </c:pt>
                <c:pt idx="6">
                  <c:v>2.5993639802269195</c:v>
                </c:pt>
                <c:pt idx="7">
                  <c:v>2.3265264370015641</c:v>
                </c:pt>
                <c:pt idx="8">
                  <c:v>2.3842839298084701</c:v>
                </c:pt>
                <c:pt idx="9">
                  <c:v>1.9284298219200948</c:v>
                </c:pt>
                <c:pt idx="10">
                  <c:v>1.6546263940269625</c:v>
                </c:pt>
                <c:pt idx="11">
                  <c:v>1.4733726100863673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7864704"/>
        <c:axId val="137866240"/>
      </c:barChart>
      <c:catAx>
        <c:axId val="137864704"/>
        <c:scaling>
          <c:orientation val="minMax"/>
        </c:scaling>
        <c:delete val="0"/>
        <c:axPos val="b"/>
        <c:majorTickMark val="out"/>
        <c:minorTickMark val="none"/>
        <c:tickLblPos val="nextTo"/>
        <c:crossAx val="137866240"/>
        <c:crosses val="autoZero"/>
        <c:auto val="1"/>
        <c:lblAlgn val="ctr"/>
        <c:lblOffset val="100"/>
        <c:noMultiLvlLbl val="0"/>
      </c:catAx>
      <c:valAx>
        <c:axId val="137866240"/>
        <c:scaling>
          <c:orientation val="minMax"/>
          <c:max val="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37864704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Consumo Médio Mensal de AC Frio/Área  - "Depois"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Kwh/m2</c:v>
          </c:tx>
          <c:spPr>
            <a:solidFill>
              <a:srgbClr val="C0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Chillers_1!$G$24:$G$35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Chillers_1!$I$24:$I$35</c:f>
              <c:numCache>
                <c:formatCode>#,##0.00</c:formatCode>
                <c:ptCount val="12"/>
                <c:pt idx="0">
                  <c:v>0.64295576395113663</c:v>
                </c:pt>
                <c:pt idx="1">
                  <c:v>0.79482498994332507</c:v>
                </c:pt>
                <c:pt idx="2">
                  <c:v>0.92788414082775617</c:v>
                </c:pt>
                <c:pt idx="3">
                  <c:v>0.85767036236724947</c:v>
                </c:pt>
                <c:pt idx="4">
                  <c:v>1.411646695759369</c:v>
                </c:pt>
                <c:pt idx="5">
                  <c:v>1.5142046838245871</c:v>
                </c:pt>
                <c:pt idx="6">
                  <c:v>1.8132009437345902</c:v>
                </c:pt>
                <c:pt idx="7">
                  <c:v>0.85767036236724947</c:v>
                </c:pt>
                <c:pt idx="8">
                  <c:v>1.8849641106221029</c:v>
                </c:pt>
                <c:pt idx="9">
                  <c:v>1.330029194805346</c:v>
                </c:pt>
                <c:pt idx="10">
                  <c:v>0.92066744107164289</c:v>
                </c:pt>
                <c:pt idx="11">
                  <c:v>0.60956319420256078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7883008"/>
        <c:axId val="139015296"/>
      </c:barChart>
      <c:catAx>
        <c:axId val="137883008"/>
        <c:scaling>
          <c:orientation val="minMax"/>
        </c:scaling>
        <c:delete val="0"/>
        <c:axPos val="b"/>
        <c:majorTickMark val="out"/>
        <c:minorTickMark val="none"/>
        <c:tickLblPos val="nextTo"/>
        <c:crossAx val="139015296"/>
        <c:crosses val="autoZero"/>
        <c:auto val="1"/>
        <c:lblAlgn val="ctr"/>
        <c:lblOffset val="100"/>
        <c:noMultiLvlLbl val="0"/>
      </c:catAx>
      <c:valAx>
        <c:axId val="139015296"/>
        <c:scaling>
          <c:orientation val="minMax"/>
          <c:max val="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37883008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Consumo Médio Mensal de AC Frio/Área  - "Antes &amp; Depois"</a:t>
            </a:r>
            <a:endParaRPr lang="pt-PT" sz="12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Kwh/m2</c:v>
          </c:tx>
          <c:spPr>
            <a:solidFill>
              <a:schemeClr val="accent1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Chillers_1!$C$24:$C$35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Chillers_1!$E$24:$E$35</c:f>
              <c:numCache>
                <c:formatCode>#,##0.00</c:formatCode>
                <c:ptCount val="12"/>
                <c:pt idx="0">
                  <c:v>1.7282914370093916</c:v>
                </c:pt>
                <c:pt idx="1">
                  <c:v>1.5904637445509711</c:v>
                </c:pt>
                <c:pt idx="2">
                  <c:v>1.8209316472251953</c:v>
                </c:pt>
                <c:pt idx="3">
                  <c:v>1.8159496439010234</c:v>
                </c:pt>
                <c:pt idx="4">
                  <c:v>2.0794245988977442</c:v>
                </c:pt>
                <c:pt idx="5">
                  <c:v>2.4119591059157495</c:v>
                </c:pt>
                <c:pt idx="6">
                  <c:v>2.5993639802269195</c:v>
                </c:pt>
                <c:pt idx="7">
                  <c:v>2.3265264370015641</c:v>
                </c:pt>
                <c:pt idx="8">
                  <c:v>2.3842839298084701</c:v>
                </c:pt>
                <c:pt idx="9">
                  <c:v>1.9284298219200948</c:v>
                </c:pt>
                <c:pt idx="10">
                  <c:v>1.6546263940269625</c:v>
                </c:pt>
                <c:pt idx="11">
                  <c:v>1.4733726100863673</c:v>
                </c:pt>
              </c:numCache>
            </c:numRef>
          </c:val>
        </c:ser>
        <c:ser>
          <c:idx val="1"/>
          <c:order val="1"/>
          <c:tx>
            <c:v>Kwh/m2</c:v>
          </c:tx>
          <c:spPr>
            <a:solidFill>
              <a:srgbClr val="C00000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Chillers_1!$I$24:$I$35</c:f>
              <c:numCache>
                <c:formatCode>#,##0.00</c:formatCode>
                <c:ptCount val="12"/>
                <c:pt idx="0">
                  <c:v>0.64295576395113663</c:v>
                </c:pt>
                <c:pt idx="1">
                  <c:v>0.79482498994332507</c:v>
                </c:pt>
                <c:pt idx="2">
                  <c:v>0.92788414082775617</c:v>
                </c:pt>
                <c:pt idx="3">
                  <c:v>0.85767036236724947</c:v>
                </c:pt>
                <c:pt idx="4">
                  <c:v>1.411646695759369</c:v>
                </c:pt>
                <c:pt idx="5">
                  <c:v>1.5142046838245871</c:v>
                </c:pt>
                <c:pt idx="6">
                  <c:v>1.8132009437345902</c:v>
                </c:pt>
                <c:pt idx="7">
                  <c:v>0.85767036236724947</c:v>
                </c:pt>
                <c:pt idx="8">
                  <c:v>1.8849641106221029</c:v>
                </c:pt>
                <c:pt idx="9">
                  <c:v>1.330029194805346</c:v>
                </c:pt>
                <c:pt idx="10">
                  <c:v>0.92066744107164289</c:v>
                </c:pt>
                <c:pt idx="11">
                  <c:v>0.60956319420256078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061888"/>
        <c:axId val="139075968"/>
      </c:barChart>
      <c:catAx>
        <c:axId val="139061888"/>
        <c:scaling>
          <c:orientation val="minMax"/>
        </c:scaling>
        <c:delete val="0"/>
        <c:axPos val="b"/>
        <c:majorTickMark val="none"/>
        <c:minorTickMark val="none"/>
        <c:tickLblPos val="nextTo"/>
        <c:crossAx val="139075968"/>
        <c:crosses val="autoZero"/>
        <c:auto val="1"/>
        <c:lblAlgn val="ctr"/>
        <c:lblOffset val="100"/>
        <c:noMultiLvlLbl val="0"/>
      </c:catAx>
      <c:valAx>
        <c:axId val="139075968"/>
        <c:scaling>
          <c:orientation val="minMax"/>
          <c:max val="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crossAx val="139061888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PT" sz="1200"/>
              <a:t>Consumo anual/área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Mod_1!$AB$5</c:f>
              <c:strCache>
                <c:ptCount val="1"/>
                <c:pt idx="0">
                  <c:v>kWh/m2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Mod_1!$AH$5:$AH$10</c:f>
              <c:numCache>
                <c:formatCode>General</c:formatCod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</c:numCache>
            </c:numRef>
          </c:cat>
          <c:val>
            <c:numRef>
              <c:f>Mod_1!$AI$5:$AI$10</c:f>
              <c:numCache>
                <c:formatCode>#,##0.00</c:formatCode>
                <c:ptCount val="6"/>
                <c:pt idx="0">
                  <c:v>82.726885982199889</c:v>
                </c:pt>
                <c:pt idx="1">
                  <c:v>74.062385320465125</c:v>
                </c:pt>
                <c:pt idx="2">
                  <c:v>68.767178695591511</c:v>
                </c:pt>
                <c:pt idx="3">
                  <c:v>67.433967684104886</c:v>
                </c:pt>
                <c:pt idx="4">
                  <c:v>59.16972269507491</c:v>
                </c:pt>
                <c:pt idx="5">
                  <c:v>53.837247877354983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7367552"/>
        <c:axId val="137369088"/>
      </c:barChart>
      <c:catAx>
        <c:axId val="137367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7369088"/>
        <c:crosses val="autoZero"/>
        <c:auto val="1"/>
        <c:lblAlgn val="ctr"/>
        <c:lblOffset val="100"/>
        <c:noMultiLvlLbl val="0"/>
      </c:catAx>
      <c:valAx>
        <c:axId val="13736908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37367552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PT" sz="1200"/>
              <a:t>Evolução anual do consumo mensal/área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Mod_1!$AH$5</c:f>
              <c:strCache>
                <c:ptCount val="1"/>
                <c:pt idx="0">
                  <c:v>2007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Mod_1!$C$5:$D$16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Mod_1!$S$5:$S$16</c:f>
              <c:numCache>
                <c:formatCode>#,##0.00</c:formatCode>
                <c:ptCount val="12"/>
                <c:pt idx="0">
                  <c:v>9.9799666980437074</c:v>
                </c:pt>
                <c:pt idx="1">
                  <c:v>7.5761312582595366</c:v>
                </c:pt>
                <c:pt idx="2">
                  <c:v>7.8880314705305361</c:v>
                </c:pt>
                <c:pt idx="3">
                  <c:v>6.6339131472425548</c:v>
                </c:pt>
                <c:pt idx="4">
                  <c:v>6.4041208142483308</c:v>
                </c:pt>
                <c:pt idx="5">
                  <c:v>6.276540496624806</c:v>
                </c:pt>
                <c:pt idx="6">
                  <c:v>6.2315704669374732</c:v>
                </c:pt>
                <c:pt idx="7">
                  <c:v>5.6056793549634909</c:v>
                </c:pt>
                <c:pt idx="8">
                  <c:v>6.0764701278319544</c:v>
                </c:pt>
                <c:pt idx="9">
                  <c:v>6.3752850631788265</c:v>
                </c:pt>
                <c:pt idx="10">
                  <c:v>6.3409671720510223</c:v>
                </c:pt>
                <c:pt idx="11">
                  <c:v>7.3382099122876472</c:v>
                </c:pt>
              </c:numCache>
            </c:numRef>
          </c:val>
        </c:ser>
        <c:ser>
          <c:idx val="1"/>
          <c:order val="1"/>
          <c:tx>
            <c:strRef>
              <c:f>Mod_1!$AH$6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Mod_1!$S$17:$S$28</c:f>
              <c:numCache>
                <c:formatCode>#,##0.00</c:formatCode>
                <c:ptCount val="12"/>
                <c:pt idx="0">
                  <c:v>7.4988804794113024</c:v>
                </c:pt>
                <c:pt idx="1">
                  <c:v>6.5542097729796573</c:v>
                </c:pt>
                <c:pt idx="2">
                  <c:v>6.9367949323172109</c:v>
                </c:pt>
                <c:pt idx="3">
                  <c:v>5.4848970077400114</c:v>
                </c:pt>
                <c:pt idx="4">
                  <c:v>5.2740952363942979</c:v>
                </c:pt>
                <c:pt idx="5">
                  <c:v>5.932430901080032</c:v>
                </c:pt>
                <c:pt idx="6">
                  <c:v>6.2235686767772345</c:v>
                </c:pt>
                <c:pt idx="7">
                  <c:v>5.5099335009816466</c:v>
                </c:pt>
                <c:pt idx="8">
                  <c:v>6.255764670910354</c:v>
                </c:pt>
                <c:pt idx="9">
                  <c:v>5.4423824750727832</c:v>
                </c:pt>
                <c:pt idx="10">
                  <c:v>6.3762409365353214</c:v>
                </c:pt>
                <c:pt idx="11">
                  <c:v>6.5731867302652773</c:v>
                </c:pt>
              </c:numCache>
            </c:numRef>
          </c:val>
        </c:ser>
        <c:ser>
          <c:idx val="2"/>
          <c:order val="2"/>
          <c:tx>
            <c:strRef>
              <c:f>Mod_1!$AH$7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Mod_1!$S$29:$S$40</c:f>
              <c:numCache>
                <c:formatCode>#,##0.00</c:formatCode>
                <c:ptCount val="12"/>
                <c:pt idx="0">
                  <c:v>7.3736622362452451</c:v>
                </c:pt>
                <c:pt idx="1">
                  <c:v>6.5935955792341501</c:v>
                </c:pt>
                <c:pt idx="2">
                  <c:v>5.6530251984497752</c:v>
                </c:pt>
                <c:pt idx="3">
                  <c:v>5.102025397127476</c:v>
                </c:pt>
                <c:pt idx="4">
                  <c:v>5.3052711396945611</c:v>
                </c:pt>
                <c:pt idx="5">
                  <c:v>5.7763345471279042</c:v>
                </c:pt>
                <c:pt idx="6">
                  <c:v>5.7333142014158778</c:v>
                </c:pt>
                <c:pt idx="7">
                  <c:v>5.1862145438807792</c:v>
                </c:pt>
                <c:pt idx="8">
                  <c:v>5.4680658516851297</c:v>
                </c:pt>
                <c:pt idx="9">
                  <c:v>5.323428169322951</c:v>
                </c:pt>
                <c:pt idx="10">
                  <c:v>5.2331828126083559</c:v>
                </c:pt>
                <c:pt idx="11">
                  <c:v>6.0190590187992994</c:v>
                </c:pt>
              </c:numCache>
            </c:numRef>
          </c:val>
        </c:ser>
        <c:ser>
          <c:idx val="3"/>
          <c:order val="3"/>
          <c:tx>
            <c:strRef>
              <c:f>Mod_1!$AH$8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Mod_1!$S$41:$S$52</c:f>
              <c:numCache>
                <c:formatCode>#,##0.00</c:formatCode>
                <c:ptCount val="12"/>
                <c:pt idx="0">
                  <c:v>6.197268420616493</c:v>
                </c:pt>
                <c:pt idx="1">
                  <c:v>6.1028394829171395</c:v>
                </c:pt>
                <c:pt idx="2">
                  <c:v>6.1616655072778403</c:v>
                </c:pt>
                <c:pt idx="3">
                  <c:v>4.7966287772087366</c:v>
                </c:pt>
                <c:pt idx="4">
                  <c:v>5.1967516988456222</c:v>
                </c:pt>
                <c:pt idx="5">
                  <c:v>5.0986660709134064</c:v>
                </c:pt>
                <c:pt idx="6">
                  <c:v>6.1706753127624383</c:v>
                </c:pt>
                <c:pt idx="7">
                  <c:v>5.4457439047561049</c:v>
                </c:pt>
                <c:pt idx="8">
                  <c:v>5.3717856624785778</c:v>
                </c:pt>
                <c:pt idx="9">
                  <c:v>4.805886725854938</c:v>
                </c:pt>
                <c:pt idx="10">
                  <c:v>6.0027221870127141</c:v>
                </c:pt>
                <c:pt idx="11">
                  <c:v>6.0833339334608629</c:v>
                </c:pt>
              </c:numCache>
            </c:numRef>
          </c:val>
        </c:ser>
        <c:ser>
          <c:idx val="4"/>
          <c:order val="4"/>
          <c:tx>
            <c:strRef>
              <c:f>Mod_1!$AH$9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Mod_1!$S$53:$S$64</c:f>
              <c:numCache>
                <c:formatCode>#,##0.00</c:formatCode>
                <c:ptCount val="12"/>
                <c:pt idx="0">
                  <c:v>6.3155808624336238</c:v>
                </c:pt>
                <c:pt idx="1">
                  <c:v>5.5082830262138653</c:v>
                </c:pt>
                <c:pt idx="2">
                  <c:v>5.2086915577865263</c:v>
                </c:pt>
                <c:pt idx="3">
                  <c:v>4.6641416716726987</c:v>
                </c:pt>
                <c:pt idx="4">
                  <c:v>5.0915828090236221</c:v>
                </c:pt>
                <c:pt idx="5">
                  <c:v>4.9283275614467099</c:v>
                </c:pt>
                <c:pt idx="6">
                  <c:v>4.910974689047988</c:v>
                </c:pt>
                <c:pt idx="7">
                  <c:v>4.3213266710226792</c:v>
                </c:pt>
                <c:pt idx="8">
                  <c:v>4.6502219001847847</c:v>
                </c:pt>
                <c:pt idx="9">
                  <c:v>4.6776504157780554</c:v>
                </c:pt>
                <c:pt idx="10">
                  <c:v>4.2926087379655549</c:v>
                </c:pt>
                <c:pt idx="11">
                  <c:v>4.6003327924988007</c:v>
                </c:pt>
              </c:numCache>
            </c:numRef>
          </c:val>
        </c:ser>
        <c:ser>
          <c:idx val="5"/>
          <c:order val="5"/>
          <c:tx>
            <c:strRef>
              <c:f>Mod_1!$AH$10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Mod_1!$S$65:$S$76</c:f>
              <c:numCache>
                <c:formatCode>#,##0.00</c:formatCode>
                <c:ptCount val="12"/>
                <c:pt idx="0">
                  <c:v>4.9011206129465554</c:v>
                </c:pt>
                <c:pt idx="1">
                  <c:v>5.1742644549811079</c:v>
                </c:pt>
                <c:pt idx="2">
                  <c:v>4.28033457452878</c:v>
                </c:pt>
                <c:pt idx="3">
                  <c:v>3.9838377152610547</c:v>
                </c:pt>
                <c:pt idx="4">
                  <c:v>4.4413537532368341</c:v>
                </c:pt>
                <c:pt idx="5">
                  <c:v>4.2677578030436747</c:v>
                </c:pt>
                <c:pt idx="6">
                  <c:v>4.5028135755408227</c:v>
                </c:pt>
                <c:pt idx="7">
                  <c:v>3.0388993553213766</c:v>
                </c:pt>
                <c:pt idx="8">
                  <c:v>4.5827885244574702</c:v>
                </c:pt>
                <c:pt idx="9">
                  <c:v>4.4096367448894158</c:v>
                </c:pt>
                <c:pt idx="10">
                  <c:v>5.2052607993824855</c:v>
                </c:pt>
                <c:pt idx="11">
                  <c:v>5.0491799637654005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30"/>
        <c:axId val="138551296"/>
        <c:axId val="138552832"/>
      </c:barChart>
      <c:catAx>
        <c:axId val="138551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8552832"/>
        <c:crosses val="autoZero"/>
        <c:auto val="1"/>
        <c:lblAlgn val="ctr"/>
        <c:lblOffset val="100"/>
        <c:noMultiLvlLbl val="0"/>
      </c:catAx>
      <c:valAx>
        <c:axId val="138552832"/>
        <c:scaling>
          <c:orientation val="minMax"/>
          <c:max val="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38551296"/>
        <c:crosses val="autoZero"/>
        <c:crossBetween val="between"/>
        <c:majorUnit val="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PT" sz="1200"/>
              <a:t>Análise trimestral janeiro - março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1"/>
              <c:layout>
                <c:manualLayout>
                  <c:x val="0"/>
                  <c:y val="-3.24074074074074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-9.25925925925921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-4.16666666666666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Mod_1!$BJ$24:$BJ$29</c:f>
              <c:numCache>
                <c:formatCode>General</c:formatCod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</c:numCache>
            </c:numRef>
          </c:cat>
          <c:val>
            <c:numRef>
              <c:f>Mod_1!$BL$24:$BL$29</c:f>
              <c:numCache>
                <c:formatCode>#,##0.00</c:formatCode>
                <c:ptCount val="6"/>
                <c:pt idx="0">
                  <c:v>8.4813764756112597</c:v>
                </c:pt>
                <c:pt idx="1">
                  <c:v>6.9966283949027241</c:v>
                </c:pt>
                <c:pt idx="2">
                  <c:v>6.5400943379763907</c:v>
                </c:pt>
                <c:pt idx="3">
                  <c:v>6.1539244702704918</c:v>
                </c:pt>
                <c:pt idx="4">
                  <c:v>5.6775184821446727</c:v>
                </c:pt>
                <c:pt idx="5">
                  <c:v>4.7852398808188141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576256"/>
        <c:axId val="138577792"/>
      </c:barChart>
      <c:lineChart>
        <c:grouping val="standard"/>
        <c:varyColors val="0"/>
        <c:ser>
          <c:idx val="1"/>
          <c:order val="1"/>
          <c:spPr>
            <a:ln w="34925"/>
          </c:spPr>
          <c:marker>
            <c:symbol val="square"/>
            <c:size val="7"/>
          </c:marker>
          <c:val>
            <c:numRef>
              <c:f>Mod_1!$BK$24:$BK$29</c:f>
              <c:numCache>
                <c:formatCode>#,##0.00</c:formatCode>
                <c:ptCount val="6"/>
                <c:pt idx="0">
                  <c:v>724958.06666666677</c:v>
                </c:pt>
                <c:pt idx="1">
                  <c:v>723097.10000000009</c:v>
                </c:pt>
                <c:pt idx="2">
                  <c:v>715457.46666666667</c:v>
                </c:pt>
                <c:pt idx="3">
                  <c:v>712111.53333333333</c:v>
                </c:pt>
                <c:pt idx="4">
                  <c:v>712016.16666666663</c:v>
                </c:pt>
                <c:pt idx="5">
                  <c:v>716188.33333333337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606464"/>
        <c:axId val="138604544"/>
      </c:lineChart>
      <c:catAx>
        <c:axId val="138576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8577792"/>
        <c:crosses val="autoZero"/>
        <c:auto val="1"/>
        <c:lblAlgn val="ctr"/>
        <c:lblOffset val="100"/>
        <c:noMultiLvlLbl val="0"/>
      </c:catAx>
      <c:valAx>
        <c:axId val="138577792"/>
        <c:scaling>
          <c:orientation val="minMax"/>
          <c:max val="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38576256"/>
        <c:crosses val="autoZero"/>
        <c:crossBetween val="between"/>
        <c:majorUnit val="2"/>
      </c:valAx>
      <c:valAx>
        <c:axId val="138604544"/>
        <c:scaling>
          <c:orientation val="minMax"/>
          <c:max val="750000"/>
          <c:min val="6500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Evento.m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38606464"/>
        <c:crosses val="max"/>
        <c:crossBetween val="between"/>
        <c:majorUnit val="20000"/>
      </c:valAx>
      <c:catAx>
        <c:axId val="138606464"/>
        <c:scaling>
          <c:orientation val="minMax"/>
        </c:scaling>
        <c:delete val="1"/>
        <c:axPos val="b"/>
        <c:majorTickMark val="out"/>
        <c:minorTickMark val="none"/>
        <c:tickLblPos val="nextTo"/>
        <c:crossAx val="138604544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/>
              <a:t>Tendência</a:t>
            </a:r>
            <a:r>
              <a:rPr lang="pt-PT" baseline="0"/>
              <a:t> de consumos - Módulo 1</a:t>
            </a:r>
            <a:endParaRPr lang="pt-PT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'[6]Globais 07-12 MOD''s'!$J$12</c:f>
              <c:strCache>
                <c:ptCount val="1"/>
                <c:pt idx="0">
                  <c:v>Ilum.&amp;Tom.</c:v>
                </c:pt>
              </c:strCache>
            </c:strRef>
          </c:tx>
          <c:spPr>
            <a:ln>
              <a:solidFill>
                <a:schemeClr val="accent1"/>
              </a:solidFill>
              <a:prstDash val="sysDot"/>
            </a:ln>
          </c:spPr>
          <c:marker>
            <c:symbol val="none"/>
          </c:marker>
          <c:cat>
            <c:numRef>
              <c:f>'[6]Globais 07-12 MOD''s'!$A$331:$A$336</c:f>
              <c:numCache>
                <c:formatCode>General</c:formatCod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</c:numCache>
            </c:numRef>
          </c:cat>
          <c:val>
            <c:numRef>
              <c:f>('[6]Globais 07-12 MOD''s'!$B$6,'[6]Globais 07-12 MOD''s'!$B$44,'[6]Globais 07-12 MOD''s'!$B$82,'[6]Globais 07-12 MOD''s'!$B$120,'[6]Globais 07-12 MOD''s'!$B$158,'[6]Globais 07-12 MOD''s'!$B$196)</c:f>
              <c:numCache>
                <c:formatCode>General</c:formatCode>
                <c:ptCount val="6"/>
                <c:pt idx="0">
                  <c:v>1387444.1318900527</c:v>
                </c:pt>
                <c:pt idx="1">
                  <c:v>1431357.5854752176</c:v>
                </c:pt>
                <c:pt idx="2">
                  <c:v>1350866.6714460372</c:v>
                </c:pt>
                <c:pt idx="3">
                  <c:v>1317280.9891061243</c:v>
                </c:pt>
                <c:pt idx="4">
                  <c:v>1215998.8575416873</c:v>
                </c:pt>
                <c:pt idx="5">
                  <c:v>1168162.9398669477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'[6]Globais 07-12 MOD''s'!$J$13</c:f>
              <c:strCache>
                <c:ptCount val="1"/>
                <c:pt idx="0">
                  <c:v>AC-Frio</c:v>
                </c:pt>
              </c:strCache>
            </c:strRef>
          </c:tx>
          <c:spPr>
            <a:ln>
              <a:solidFill>
                <a:schemeClr val="accent1"/>
              </a:solidFill>
              <a:prstDash val="sysDash"/>
            </a:ln>
          </c:spPr>
          <c:marker>
            <c:symbol val="none"/>
          </c:marker>
          <c:cat>
            <c:numRef>
              <c:f>'[6]Globais 07-12 MOD''s'!$A$331:$A$336</c:f>
              <c:numCache>
                <c:formatCode>General</c:formatCod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</c:numCache>
            </c:numRef>
          </c:cat>
          <c:val>
            <c:numRef>
              <c:f>('[6]Globais 07-12 MOD''s'!$B$7,'[6]Globais 07-12 MOD''s'!$B$45,'[6]Globais 07-12 MOD''s'!$B$83,'[6]Globais 07-12 MOD''s'!$B$121,'[6]Globais 07-12 MOD''s'!$B$159,'[6]Globais 07-12 MOD''s'!$B$197)</c:f>
              <c:numCache>
                <c:formatCode>General</c:formatCode>
                <c:ptCount val="6"/>
                <c:pt idx="0">
                  <c:v>1052213.7384569072</c:v>
                </c:pt>
                <c:pt idx="1">
                  <c:v>811660.6953767112</c:v>
                </c:pt>
                <c:pt idx="2">
                  <c:v>760672.38213513547</c:v>
                </c:pt>
                <c:pt idx="3">
                  <c:v>741316.91364032903</c:v>
                </c:pt>
                <c:pt idx="4">
                  <c:v>600869.6665653442</c:v>
                </c:pt>
                <c:pt idx="5">
                  <c:v>476223.10999752261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'[6]Globais 07-12 MOD''s'!$J$14</c:f>
              <c:strCache>
                <c:ptCount val="1"/>
                <c:pt idx="0">
                  <c:v>AC-Quente</c:v>
                </c:pt>
              </c:strCache>
            </c:strRef>
          </c:tx>
          <c:spPr>
            <a:ln>
              <a:solidFill>
                <a:schemeClr val="accent1"/>
              </a:solidFill>
              <a:prstDash val="dashDot"/>
            </a:ln>
          </c:spPr>
          <c:marker>
            <c:symbol val="none"/>
          </c:marker>
          <c:cat>
            <c:numRef>
              <c:f>'[6]Globais 07-12 MOD''s'!$A$331:$A$336</c:f>
              <c:numCache>
                <c:formatCode>General</c:formatCod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</c:numCache>
            </c:numRef>
          </c:cat>
          <c:val>
            <c:numRef>
              <c:f>('[6]Globais 07-12 MOD''s'!$B$8,'[6]Globais 07-12 MOD''s'!$B$46,'[6]Globais 07-12 MOD''s'!$B$84,'[6]Globais 07-12 MOD''s'!$B$122,'[6]Globais 07-12 MOD''s'!$B$160,'[6]Globais 07-12 MOD''s'!$B$198)</c:f>
              <c:numCache>
                <c:formatCode>General</c:formatCode>
                <c:ptCount val="6"/>
                <c:pt idx="0">
                  <c:v>365528.10642345587</c:v>
                </c:pt>
                <c:pt idx="1">
                  <c:v>268363.14297972346</c:v>
                </c:pt>
                <c:pt idx="2">
                  <c:v>220287.20880763943</c:v>
                </c:pt>
                <c:pt idx="3">
                  <c:v>228020.50745385903</c:v>
                </c:pt>
                <c:pt idx="4">
                  <c:v>189186.92219189284</c:v>
                </c:pt>
                <c:pt idx="5">
                  <c:v>181181.18840875968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849280"/>
        <c:axId val="138851072"/>
      </c:lineChart>
      <c:catAx>
        <c:axId val="138849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38851072"/>
        <c:crosses val="autoZero"/>
        <c:auto val="1"/>
        <c:lblAlgn val="ctr"/>
        <c:lblOffset val="100"/>
        <c:noMultiLvlLbl val="0"/>
      </c:catAx>
      <c:valAx>
        <c:axId val="1388510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kWh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pt-PT"/>
          </a:p>
        </c:txPr>
        <c:crossAx val="138849280"/>
        <c:crosses val="autoZero"/>
        <c:crossBetween val="between"/>
        <c:majorUnit val="40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PT" sz="1200"/>
              <a:t>Consumo médio mensal/</a:t>
            </a:r>
            <a:r>
              <a:rPr lang="en-US" sz="1200" b="1" i="0" baseline="0">
                <a:effectLst/>
              </a:rPr>
              <a:t>taxa de ocupação</a:t>
            </a:r>
            <a:endParaRPr lang="pt-PT" sz="12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Mod_1!$AB$5</c:f>
              <c:strCache>
                <c:ptCount val="1"/>
                <c:pt idx="0">
                  <c:v>kWh/m2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Mod_1!$X$5:$X$16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Mod_1!$Y$5:$Y$16</c:f>
              <c:numCache>
                <c:formatCode>#,##0.00</c:formatCode>
                <c:ptCount val="12"/>
                <c:pt idx="0">
                  <c:v>0.324932069263073</c:v>
                </c:pt>
                <c:pt idx="1">
                  <c:v>0.31070872323077975</c:v>
                </c:pt>
                <c:pt idx="2">
                  <c:v>0.27717123588079423</c:v>
                </c:pt>
                <c:pt idx="3">
                  <c:v>0.24257435720722612</c:v>
                </c:pt>
                <c:pt idx="4">
                  <c:v>0.24181714076958349</c:v>
                </c:pt>
                <c:pt idx="5">
                  <c:v>0.25528913111175988</c:v>
                </c:pt>
                <c:pt idx="6">
                  <c:v>0.26187257386479212</c:v>
                </c:pt>
                <c:pt idx="7">
                  <c:v>0.23671511616341681</c:v>
                </c:pt>
                <c:pt idx="8">
                  <c:v>0.25990554077058314</c:v>
                </c:pt>
                <c:pt idx="9">
                  <c:v>0.23813125718240369</c:v>
                </c:pt>
                <c:pt idx="10">
                  <c:v>0.26314354673492768</c:v>
                </c:pt>
                <c:pt idx="11">
                  <c:v>0.27646474718337993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870144"/>
        <c:axId val="139203712"/>
      </c:barChart>
      <c:catAx>
        <c:axId val="138870144"/>
        <c:scaling>
          <c:orientation val="minMax"/>
        </c:scaling>
        <c:delete val="0"/>
        <c:axPos val="b"/>
        <c:majorTickMark val="out"/>
        <c:minorTickMark val="none"/>
        <c:tickLblPos val="nextTo"/>
        <c:crossAx val="139203712"/>
        <c:crosses val="autoZero"/>
        <c:auto val="1"/>
        <c:lblAlgn val="ctr"/>
        <c:lblOffset val="100"/>
        <c:noMultiLvlLbl val="0"/>
      </c:catAx>
      <c:valAx>
        <c:axId val="139203712"/>
        <c:scaling>
          <c:orientation val="minMax"/>
          <c:max val="0.5"/>
        </c:scaling>
        <c:delete val="0"/>
        <c:axPos val="l"/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 sz="1000" b="1" i="0" baseline="0">
                    <a:effectLst/>
                  </a:rPr>
                  <a:t>kWh/(Evento.m</a:t>
                </a:r>
                <a:r>
                  <a:rPr lang="pt-PT" sz="1000" b="1" i="0" baseline="30000">
                    <a:effectLst/>
                  </a:rPr>
                  <a:t>2</a:t>
                </a:r>
                <a:r>
                  <a:rPr lang="pt-PT" sz="1000" b="1" i="0" baseline="0">
                    <a:effectLst/>
                  </a:rPr>
                  <a:t>)</a:t>
                </a:r>
                <a:endParaRPr lang="pt-PT" sz="1000">
                  <a:effectLst/>
                </a:endParaRPr>
              </a:p>
            </c:rich>
          </c:tx>
          <c:layout/>
          <c:overlay val="0"/>
        </c:title>
        <c:numFmt formatCode="#,##0.00" sourceLinked="1"/>
        <c:majorTickMark val="out"/>
        <c:minorTickMark val="none"/>
        <c:tickLblPos val="nextTo"/>
        <c:crossAx val="138870144"/>
        <c:crosses val="autoZero"/>
        <c:crossBetween val="between"/>
        <c:majorUnit val="0.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PT" sz="1200"/>
              <a:t>Análise trimestral abril - junho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0"/>
              <c:layout>
                <c:manualLayout>
                  <c:x val="1.8351475913458454E-17"/>
                  <c:y val="-6.4814814814814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Mod_1!$BJ$39:$BJ$44</c:f>
              <c:numCache>
                <c:formatCode>General</c:formatCod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</c:numCache>
            </c:numRef>
          </c:cat>
          <c:val>
            <c:numRef>
              <c:f>Mod_1!$BL$39:$BL$44</c:f>
              <c:numCache>
                <c:formatCode>#,##0.00</c:formatCode>
                <c:ptCount val="6"/>
                <c:pt idx="0">
                  <c:v>6.4381914860385647</c:v>
                </c:pt>
                <c:pt idx="1">
                  <c:v>5.5638077150714471</c:v>
                </c:pt>
                <c:pt idx="2">
                  <c:v>5.3945436946499798</c:v>
                </c:pt>
                <c:pt idx="3">
                  <c:v>5.0306821823225887</c:v>
                </c:pt>
                <c:pt idx="4">
                  <c:v>4.8946840140476766</c:v>
                </c:pt>
                <c:pt idx="5">
                  <c:v>4.2309830905138552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246976"/>
        <c:axId val="139261056"/>
      </c:barChart>
      <c:lineChart>
        <c:grouping val="standard"/>
        <c:varyColors val="0"/>
        <c:ser>
          <c:idx val="1"/>
          <c:order val="1"/>
          <c:spPr>
            <a:ln w="34925"/>
          </c:spPr>
          <c:marker>
            <c:symbol val="square"/>
            <c:size val="7"/>
          </c:marker>
          <c:val>
            <c:numRef>
              <c:f>Mod_1!$BK$39:$BK$44</c:f>
              <c:numCache>
                <c:formatCode>#,##0.00</c:formatCode>
                <c:ptCount val="6"/>
                <c:pt idx="0">
                  <c:v>722041.7666666666</c:v>
                </c:pt>
                <c:pt idx="1">
                  <c:v>727226.7666666666</c:v>
                </c:pt>
                <c:pt idx="2">
                  <c:v>728773.63333333342</c:v>
                </c:pt>
                <c:pt idx="3">
                  <c:v>725657.3666666667</c:v>
                </c:pt>
                <c:pt idx="4">
                  <c:v>720359.13333333342</c:v>
                </c:pt>
                <c:pt idx="5">
                  <c:v>715085.56666666677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876032"/>
        <c:axId val="139262976"/>
      </c:lineChart>
      <c:catAx>
        <c:axId val="139246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9261056"/>
        <c:crosses val="autoZero"/>
        <c:auto val="1"/>
        <c:lblAlgn val="ctr"/>
        <c:lblOffset val="100"/>
        <c:noMultiLvlLbl val="0"/>
      </c:catAx>
      <c:valAx>
        <c:axId val="139261056"/>
        <c:scaling>
          <c:orientation val="minMax"/>
          <c:max val="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39246976"/>
        <c:crosses val="autoZero"/>
        <c:crossBetween val="between"/>
        <c:majorUnit val="2"/>
      </c:valAx>
      <c:valAx>
        <c:axId val="139262976"/>
        <c:scaling>
          <c:orientation val="minMax"/>
          <c:max val="750000"/>
          <c:min val="6500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Evento.m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38876032"/>
        <c:crosses val="max"/>
        <c:crossBetween val="between"/>
        <c:majorUnit val="20000"/>
      </c:valAx>
      <c:catAx>
        <c:axId val="138876032"/>
        <c:scaling>
          <c:orientation val="minMax"/>
        </c:scaling>
        <c:delete val="1"/>
        <c:axPos val="b"/>
        <c:majorTickMark val="out"/>
        <c:minorTickMark val="none"/>
        <c:tickLblPos val="nextTo"/>
        <c:crossAx val="139262976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PT" sz="1200"/>
              <a:t>Análise trimestral julho - setembro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0"/>
              <c:layout>
                <c:manualLayout>
                  <c:x val="1.8351475913458454E-17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Mod_1!$BJ$56:$BJ$61</c:f>
              <c:numCache>
                <c:formatCode>General</c:formatCod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</c:numCache>
            </c:numRef>
          </c:cat>
          <c:val>
            <c:numRef>
              <c:f>Mod_1!$BL$56:$BL$61</c:f>
              <c:numCache>
                <c:formatCode>#,##0.00</c:formatCode>
                <c:ptCount val="6"/>
                <c:pt idx="0">
                  <c:v>6.1540202973847133</c:v>
                </c:pt>
                <c:pt idx="1">
                  <c:v>6.2396666738437947</c:v>
                </c:pt>
                <c:pt idx="2">
                  <c:v>5.6006900265505042</c:v>
                </c:pt>
                <c:pt idx="3">
                  <c:v>5.7712304876205085</c:v>
                </c:pt>
                <c:pt idx="4">
                  <c:v>4.7805982946163859</c:v>
                </c:pt>
                <c:pt idx="5">
                  <c:v>4.5428010499991469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898048"/>
        <c:axId val="138916224"/>
      </c:barChart>
      <c:lineChart>
        <c:grouping val="standard"/>
        <c:varyColors val="0"/>
        <c:ser>
          <c:idx val="1"/>
          <c:order val="1"/>
          <c:spPr>
            <a:ln w="34925"/>
          </c:spPr>
          <c:marker>
            <c:symbol val="square"/>
            <c:size val="7"/>
          </c:marker>
          <c:val>
            <c:numRef>
              <c:f>Mod_1!$BK$56:$BK$61</c:f>
              <c:numCache>
                <c:formatCode>#,##0.00</c:formatCode>
                <c:ptCount val="6"/>
                <c:pt idx="0">
                  <c:v>716645.60000000009</c:v>
                </c:pt>
                <c:pt idx="1">
                  <c:v>720292.10000000009</c:v>
                </c:pt>
                <c:pt idx="2">
                  <c:v>718632.25</c:v>
                </c:pt>
                <c:pt idx="3">
                  <c:v>721607.89999999991</c:v>
                </c:pt>
                <c:pt idx="4">
                  <c:v>710689.7</c:v>
                </c:pt>
                <c:pt idx="5">
                  <c:v>709887.4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928512"/>
        <c:axId val="138918144"/>
      </c:lineChart>
      <c:catAx>
        <c:axId val="138898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8916224"/>
        <c:crosses val="autoZero"/>
        <c:auto val="1"/>
        <c:lblAlgn val="ctr"/>
        <c:lblOffset val="100"/>
        <c:noMultiLvlLbl val="0"/>
      </c:catAx>
      <c:valAx>
        <c:axId val="138916224"/>
        <c:scaling>
          <c:orientation val="minMax"/>
          <c:max val="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38898048"/>
        <c:crosses val="autoZero"/>
        <c:crossBetween val="between"/>
        <c:majorUnit val="2"/>
      </c:valAx>
      <c:valAx>
        <c:axId val="138918144"/>
        <c:scaling>
          <c:orientation val="minMax"/>
          <c:max val="750000"/>
          <c:min val="6500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Evento.m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38928512"/>
        <c:crosses val="max"/>
        <c:crossBetween val="between"/>
        <c:majorUnit val="20000"/>
      </c:valAx>
      <c:catAx>
        <c:axId val="138928512"/>
        <c:scaling>
          <c:orientation val="minMax"/>
        </c:scaling>
        <c:delete val="1"/>
        <c:axPos val="b"/>
        <c:majorTickMark val="out"/>
        <c:minorTickMark val="none"/>
        <c:tickLblPos val="nextTo"/>
        <c:crossAx val="138918144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PT" sz="1200"/>
              <a:t>Análise trimestral outubro - dezembro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Mod_1!$BJ$72:$BJ$77</c:f>
              <c:numCache>
                <c:formatCode>General</c:formatCod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</c:numCache>
            </c:numRef>
          </c:cat>
          <c:val>
            <c:numRef>
              <c:f>Mod_1!$BL$72:$BL$77</c:f>
              <c:numCache>
                <c:formatCode>#,##0.00</c:formatCode>
                <c:ptCount val="6"/>
                <c:pt idx="0">
                  <c:v>6.6848207158391659</c:v>
                </c:pt>
                <c:pt idx="1">
                  <c:v>6.1306033806244606</c:v>
                </c:pt>
                <c:pt idx="2">
                  <c:v>5.5252233335768688</c:v>
                </c:pt>
                <c:pt idx="3">
                  <c:v>5.6306476154428386</c:v>
                </c:pt>
                <c:pt idx="4">
                  <c:v>4.52353064874747</c:v>
                </c:pt>
                <c:pt idx="5">
                  <c:v>4.8880258360124342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969472"/>
        <c:axId val="138971008"/>
      </c:barChart>
      <c:lineChart>
        <c:grouping val="standard"/>
        <c:varyColors val="0"/>
        <c:ser>
          <c:idx val="1"/>
          <c:order val="1"/>
          <c:spPr>
            <a:ln w="34925"/>
          </c:spPr>
          <c:marker>
            <c:symbol val="square"/>
            <c:size val="7"/>
          </c:marker>
          <c:val>
            <c:numRef>
              <c:f>Mod_1!$BK$72:$BK$77</c:f>
              <c:numCache>
                <c:formatCode>#,##0.00</c:formatCode>
                <c:ptCount val="6"/>
                <c:pt idx="0">
                  <c:v>733404.16666666663</c:v>
                </c:pt>
                <c:pt idx="1">
                  <c:v>730909.91666666663</c:v>
                </c:pt>
                <c:pt idx="2">
                  <c:v>727088.06666666653</c:v>
                </c:pt>
                <c:pt idx="3">
                  <c:v>727350.96666666679</c:v>
                </c:pt>
                <c:pt idx="4">
                  <c:v>725025.79999999993</c:v>
                </c:pt>
                <c:pt idx="5">
                  <c:v>721062.26333333331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983296"/>
        <c:axId val="138981376"/>
      </c:lineChart>
      <c:catAx>
        <c:axId val="1389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8971008"/>
        <c:crosses val="autoZero"/>
        <c:auto val="1"/>
        <c:lblAlgn val="ctr"/>
        <c:lblOffset val="100"/>
        <c:noMultiLvlLbl val="0"/>
      </c:catAx>
      <c:valAx>
        <c:axId val="138971008"/>
        <c:scaling>
          <c:orientation val="minMax"/>
          <c:max val="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38969472"/>
        <c:crosses val="autoZero"/>
        <c:crossBetween val="between"/>
        <c:majorUnit val="2"/>
      </c:valAx>
      <c:valAx>
        <c:axId val="138981376"/>
        <c:scaling>
          <c:orientation val="minMax"/>
          <c:max val="750000"/>
          <c:min val="6500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Evento.m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38983296"/>
        <c:crosses val="max"/>
        <c:crossBetween val="between"/>
        <c:majorUnit val="20000"/>
      </c:valAx>
      <c:catAx>
        <c:axId val="138983296"/>
        <c:scaling>
          <c:orientation val="minMax"/>
        </c:scaling>
        <c:delete val="1"/>
        <c:axPos val="b"/>
        <c:majorTickMark val="out"/>
        <c:minorTickMark val="none"/>
        <c:tickLblPos val="nextTo"/>
        <c:crossAx val="138981376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19049</xdr:colOff>
      <xdr:row>17</xdr:row>
      <xdr:rowOff>151447</xdr:rowOff>
    </xdr:from>
    <xdr:to>
      <xdr:col>30</xdr:col>
      <xdr:colOff>390524</xdr:colOff>
      <xdr:row>34</xdr:row>
      <xdr:rowOff>52387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33</xdr:col>
      <xdr:colOff>28575</xdr:colOff>
      <xdr:row>11</xdr:row>
      <xdr:rowOff>47625</xdr:rowOff>
    </xdr:from>
    <xdr:to>
      <xdr:col>41</xdr:col>
      <xdr:colOff>571500</xdr:colOff>
      <xdr:row>27</xdr:row>
      <xdr:rowOff>139065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50</xdr:col>
      <xdr:colOff>47625</xdr:colOff>
      <xdr:row>4</xdr:row>
      <xdr:rowOff>47625</xdr:rowOff>
    </xdr:from>
    <xdr:to>
      <xdr:col>68</xdr:col>
      <xdr:colOff>133351</xdr:colOff>
      <xdr:row>20</xdr:row>
      <xdr:rowOff>110490</xdr:rowOff>
    </xdr:to>
    <xdr:graphicFrame macro="">
      <xdr:nvGraphicFramePr>
        <xdr:cNvPr id="20" name="Gráfico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38100</xdr:colOff>
      <xdr:row>21</xdr:row>
      <xdr:rowOff>142875</xdr:rowOff>
    </xdr:from>
    <xdr:to>
      <xdr:col>60</xdr:col>
      <xdr:colOff>209549</xdr:colOff>
      <xdr:row>36</xdr:row>
      <xdr:rowOff>19050</xdr:rowOff>
    </xdr:to>
    <xdr:graphicFrame macro="">
      <xdr:nvGraphicFramePr>
        <xdr:cNvPr id="21" name="Gráfico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38100</xdr:colOff>
      <xdr:row>80</xdr:row>
      <xdr:rowOff>28575</xdr:rowOff>
    </xdr:from>
    <xdr:to>
      <xdr:col>13</xdr:col>
      <xdr:colOff>257176</xdr:colOff>
      <xdr:row>94</xdr:row>
      <xdr:rowOff>104775</xdr:rowOff>
    </xdr:to>
    <xdr:graphicFrame macro="">
      <xdr:nvGraphicFramePr>
        <xdr:cNvPr id="26" name="Gráfico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22</xdr:col>
      <xdr:colOff>38100</xdr:colOff>
      <xdr:row>36</xdr:row>
      <xdr:rowOff>57150</xdr:rowOff>
    </xdr:from>
    <xdr:to>
      <xdr:col>30</xdr:col>
      <xdr:colOff>409575</xdr:colOff>
      <xdr:row>52</xdr:row>
      <xdr:rowOff>120015</xdr:rowOff>
    </xdr:to>
    <xdr:graphicFrame macro="">
      <xdr:nvGraphicFramePr>
        <xdr:cNvPr id="27" name="Gráfico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50</xdr:col>
      <xdr:colOff>38100</xdr:colOff>
      <xdr:row>37</xdr:row>
      <xdr:rowOff>38100</xdr:rowOff>
    </xdr:from>
    <xdr:to>
      <xdr:col>60</xdr:col>
      <xdr:colOff>209549</xdr:colOff>
      <xdr:row>51</xdr:row>
      <xdr:rowOff>104775</xdr:rowOff>
    </xdr:to>
    <xdr:graphicFrame macro="">
      <xdr:nvGraphicFramePr>
        <xdr:cNvPr id="28" name="Gráfico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50</xdr:col>
      <xdr:colOff>38100</xdr:colOff>
      <xdr:row>54</xdr:row>
      <xdr:rowOff>28575</xdr:rowOff>
    </xdr:from>
    <xdr:to>
      <xdr:col>60</xdr:col>
      <xdr:colOff>209549</xdr:colOff>
      <xdr:row>68</xdr:row>
      <xdr:rowOff>95250</xdr:rowOff>
    </xdr:to>
    <xdr:graphicFrame macro="">
      <xdr:nvGraphicFramePr>
        <xdr:cNvPr id="29" name="Gráfico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50</xdr:col>
      <xdr:colOff>38100</xdr:colOff>
      <xdr:row>70</xdr:row>
      <xdr:rowOff>47625</xdr:rowOff>
    </xdr:from>
    <xdr:to>
      <xdr:col>60</xdr:col>
      <xdr:colOff>209549</xdr:colOff>
      <xdr:row>84</xdr:row>
      <xdr:rowOff>114300</xdr:rowOff>
    </xdr:to>
    <xdr:graphicFrame macro="">
      <xdr:nvGraphicFramePr>
        <xdr:cNvPr id="30" name="Gráfico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428624</xdr:colOff>
      <xdr:row>3</xdr:row>
      <xdr:rowOff>90487</xdr:rowOff>
    </xdr:from>
    <xdr:to>
      <xdr:col>20</xdr:col>
      <xdr:colOff>190499</xdr:colOff>
      <xdr:row>19</xdr:row>
      <xdr:rowOff>114300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419099</xdr:colOff>
      <xdr:row>21</xdr:row>
      <xdr:rowOff>80962</xdr:rowOff>
    </xdr:from>
    <xdr:to>
      <xdr:col>20</xdr:col>
      <xdr:colOff>200024</xdr:colOff>
      <xdr:row>37</xdr:row>
      <xdr:rowOff>114300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419100</xdr:colOff>
      <xdr:row>39</xdr:row>
      <xdr:rowOff>66675</xdr:rowOff>
    </xdr:from>
    <xdr:to>
      <xdr:col>20</xdr:col>
      <xdr:colOff>190500</xdr:colOff>
      <xdr:row>55</xdr:row>
      <xdr:rowOff>161925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400049</xdr:colOff>
      <xdr:row>3</xdr:row>
      <xdr:rowOff>71436</xdr:rowOff>
    </xdr:from>
    <xdr:to>
      <xdr:col>31</xdr:col>
      <xdr:colOff>161924</xdr:colOff>
      <xdr:row>19</xdr:row>
      <xdr:rowOff>104774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400050</xdr:colOff>
      <xdr:row>21</xdr:row>
      <xdr:rowOff>80961</xdr:rowOff>
    </xdr:from>
    <xdr:to>
      <xdr:col>31</xdr:col>
      <xdr:colOff>171450</xdr:colOff>
      <xdr:row>37</xdr:row>
      <xdr:rowOff>123824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22</xdr:col>
      <xdr:colOff>390525</xdr:colOff>
      <xdr:row>39</xdr:row>
      <xdr:rowOff>85724</xdr:rowOff>
    </xdr:from>
    <xdr:to>
      <xdr:col>31</xdr:col>
      <xdr:colOff>142875</xdr:colOff>
      <xdr:row>55</xdr:row>
      <xdr:rowOff>190499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Compara&#231;&#227;o%20Consumos/Compara&#231;&#227;o%20Consumos%202007_2008_consumos_por_modulos_nuno.xl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7/Ocup_Maio_200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7/Ocup_Junho_2007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7/Ocup_Julho_2007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7/Ocup_Agosto_200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7/Ocup_Setembro_2007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7/Ocup_Outubro_200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7/Ocup_Novembro_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7/Ocup_Dezembro_2007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8/Ocup_Janeiro_200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8/Ocup_Fevereiro_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Compara&#231;&#227;o%20Consumos/Compara&#231;&#227;o%20Consumos%202009_2010_consumos_por_modulos_nuno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8/Ocup_Mar&#231;o_20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8/Ocup_Abril_2008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8/Ocup_Maio_2008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8/Ocup_Junho_200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8/Ocup_Julho_2008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8/Ocup_Agosto_200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8/Ocup_Setembro_200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8/Ocup_Outubro_2008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8/Ocup_Novembro_2008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8/Ocup_Dezembro_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Compara&#231;&#227;o%20Consumos/Compara&#231;&#227;o%20Consumos%202011_2012_consumos_por_modulos_nuno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9/Ocup_Janeiro_2009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9/Ocup_Fevereiro_2009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9/Ocup_Mar&#231;o_2009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9/Ocup_Abril_2009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9/Ocup_Maio_2009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9/Ocup_Junho_2009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9/Ocup_Julho_2009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9/Ocup_Agosto_2009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9/Ocup_Setembro_2009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9/Ocup_Outubro_2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Compara&#231;&#227;o%20Consumos/Compara&#231;&#227;o%20Consumos%202008_2009_consumos_por_modulos_nuno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9/Ocup_Novembro_2009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9/Ocup_Dezembro_2009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0/Ocup_Janeiro_2010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0/Ocup_Fevereiro_2010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0/Ocup_Mar&#231;o_2010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0/Ocup_Abril_2010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0/Ocup_Maio_2010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0/Ocup_Junho_2010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0/Ocup_Julho_2010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0/Ocup_Agosto_201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Compara&#231;&#227;o%20Consumos/Compara&#231;&#227;o%20Consumos%202010_2011_consumos_por_modulos_nuno.xlsx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0/Ocup_Setembro_201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0/Ocup_Outubro_2010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0/Ocup_Novembro_2010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0/Ocup_Dezembro_2010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1/Ocup_Janeiro_2011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1/Ocup_Fevereiro_2011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1/Ocup_Mar&#231;o_2011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1/Ocup_Abril_2011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1/Ocup_Maio_2011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1/Ocup_Junho_201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fevereiro/Gr&#225;ficos%20Consumos%20(02.03.14).xlsx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1/Ocup_Julho_2011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1/Ocup_Agosto_2011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1/Ocup_Setembro_201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1/Ocup_Outubro_2011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1/Ocup_Novembro_201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1/Ocup_Dezembro_2011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2/Ocup_Janeiro_2012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2/Ocup_Fevereiro_2012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2/Ocup_mar&#231;o_2012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2/Ocup_abril_201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7/Ocup_Fevereiro_2007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2/Ocup_Maio_2012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2/Ocup_Junho_2012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2/Ocup_Julho_2012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2/Ocup_Agosto_2012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2/Ocup_Setembro_2012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2/Ocup_Outubro_2012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2/Ocup_Novembro_2012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2/Ocup_Dezembro_201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7/Ocup_Mar&#231;o_20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7/Ocup_Abril_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s_Consumos"/>
    </sheetNames>
    <sheetDataSet>
      <sheetData sheetId="0">
        <row r="6">
          <cell r="B6">
            <v>123023.90638554505</v>
          </cell>
          <cell r="C6">
            <v>105803.47867990425</v>
          </cell>
          <cell r="D6">
            <v>121642.77483039761</v>
          </cell>
          <cell r="E6">
            <v>113520.48925761247</v>
          </cell>
          <cell r="F6">
            <v>116824.40921799744</v>
          </cell>
          <cell r="G6">
            <v>107549.18069356021</v>
          </cell>
          <cell r="H6">
            <v>110791.54941777157</v>
          </cell>
          <cell r="I6">
            <v>103463.65122517012</v>
          </cell>
          <cell r="J6">
            <v>116583.19367769077</v>
          </cell>
          <cell r="K6">
            <v>125332.34140434962</v>
          </cell>
          <cell r="L6">
            <v>120234.26267127556</v>
          </cell>
          <cell r="M6">
            <v>122674.89442877812</v>
          </cell>
        </row>
        <row r="7">
          <cell r="B7">
            <v>127222.89832659526</v>
          </cell>
          <cell r="C7">
            <v>117675.19048568539</v>
          </cell>
          <cell r="D7">
            <v>123286.89933177436</v>
          </cell>
          <cell r="E7">
            <v>120535.92820511451</v>
          </cell>
          <cell r="F7">
            <v>119032.74928106251</v>
          </cell>
          <cell r="G7">
            <v>118761.55746091536</v>
          </cell>
          <cell r="H7">
            <v>119380.4411876185</v>
          </cell>
          <cell r="I7">
            <v>105297.19488331745</v>
          </cell>
          <cell r="J7">
            <v>114891.09680831496</v>
          </cell>
          <cell r="K7">
            <v>123261.4185862935</v>
          </cell>
          <cell r="L7">
            <v>118338.15607373876</v>
          </cell>
          <cell r="M7">
            <v>123674.05484478688</v>
          </cell>
        </row>
        <row r="11">
          <cell r="B11">
            <v>74612.378619920055</v>
          </cell>
          <cell r="C11">
            <v>62070.944341899114</v>
          </cell>
          <cell r="D11">
            <v>76254.627093261108</v>
          </cell>
          <cell r="E11">
            <v>77374.024878975586</v>
          </cell>
          <cell r="F11">
            <v>80125.293967187812</v>
          </cell>
          <cell r="G11">
            <v>77597.722392733151</v>
          </cell>
          <cell r="H11">
            <v>74244.399297931712</v>
          </cell>
          <cell r="I11">
            <v>50247.200595004797</v>
          </cell>
          <cell r="J11">
            <v>70424.543801156789</v>
          </cell>
          <cell r="K11">
            <v>72477.613337040777</v>
          </cell>
          <cell r="L11">
            <v>61001.880284800412</v>
          </cell>
          <cell r="M11">
            <v>62085.697603131717</v>
          </cell>
        </row>
        <row r="12">
          <cell r="B12">
            <v>59574.634085971629</v>
          </cell>
          <cell r="C12">
            <v>59592.909750775529</v>
          </cell>
          <cell r="D12">
            <v>56568.12592962441</v>
          </cell>
          <cell r="E12">
            <v>73300.461230465851</v>
          </cell>
          <cell r="F12">
            <v>69089.611464463684</v>
          </cell>
          <cell r="G12">
            <v>52319.342181076841</v>
          </cell>
          <cell r="H12">
            <v>57073.054699874207</v>
          </cell>
          <cell r="I12">
            <v>47342.36799688304</v>
          </cell>
          <cell r="J12">
            <v>78069.11747445201</v>
          </cell>
          <cell r="K12">
            <v>58548.781226187893</v>
          </cell>
          <cell r="L12">
            <v>53819.636622859725</v>
          </cell>
          <cell r="M12">
            <v>63426.096466485978</v>
          </cell>
        </row>
        <row r="16">
          <cell r="B16">
            <v>147825.55111411825</v>
          </cell>
          <cell r="C16">
            <v>115452.8698370107</v>
          </cell>
          <cell r="D16">
            <v>111903.14194991237</v>
          </cell>
          <cell r="E16">
            <v>95970.036511786719</v>
          </cell>
          <cell r="F16">
            <v>106536.42834000879</v>
          </cell>
          <cell r="G16">
            <v>125524.40926980792</v>
          </cell>
          <cell r="H16">
            <v>137624.54105597417</v>
          </cell>
          <cell r="I16">
            <v>150417.92678118157</v>
          </cell>
          <cell r="J16">
            <v>128665.57848618401</v>
          </cell>
          <cell r="K16">
            <v>127850.10291017215</v>
          </cell>
          <cell r="L16">
            <v>144501.4727832666</v>
          </cell>
          <cell r="M16">
            <v>162917.20865183364</v>
          </cell>
        </row>
        <row r="21">
          <cell r="B21">
            <v>94317.300621005721</v>
          </cell>
          <cell r="C21">
            <v>73482.562446293887</v>
          </cell>
          <cell r="D21">
            <v>94006.131547536352</v>
          </cell>
          <cell r="E21">
            <v>93333.091446967504</v>
          </cell>
          <cell r="F21">
            <v>100332.92347234921</v>
          </cell>
          <cell r="G21">
            <v>105282.03100649033</v>
          </cell>
          <cell r="H21">
            <v>100515.09688748872</v>
          </cell>
          <cell r="I21">
            <v>86619.330022286886</v>
          </cell>
          <cell r="J21">
            <v>89463.831886962987</v>
          </cell>
          <cell r="K21">
            <v>90847.199802981209</v>
          </cell>
          <cell r="L21">
            <v>65196.811537633665</v>
          </cell>
          <cell r="M21">
            <v>58817.427778910744</v>
          </cell>
        </row>
        <row r="22">
          <cell r="B22">
            <v>58587.459000702373</v>
          </cell>
          <cell r="C22">
            <v>55446.657933881652</v>
          </cell>
          <cell r="D22">
            <v>64216.748762515854</v>
          </cell>
          <cell r="E22">
            <v>58568.759790757074</v>
          </cell>
          <cell r="F22">
            <v>59806.546089831725</v>
          </cell>
          <cell r="G22">
            <v>82401.24196380745</v>
          </cell>
          <cell r="H22">
            <v>91654.549073220725</v>
          </cell>
          <cell r="I22">
            <v>81539.140201469214</v>
          </cell>
          <cell r="J22">
            <v>97235.627417584241</v>
          </cell>
          <cell r="K22">
            <v>61284.328760949531</v>
          </cell>
          <cell r="L22">
            <v>54674.780801369459</v>
          </cell>
          <cell r="M22">
            <v>46244.855580621806</v>
          </cell>
        </row>
        <row r="23">
          <cell r="B23">
            <v>121069.48375741333</v>
          </cell>
          <cell r="C23">
            <v>77612.993710124487</v>
          </cell>
          <cell r="D23">
            <v>51826.352756285982</v>
          </cell>
          <cell r="E23">
            <v>18095.780205267787</v>
          </cell>
          <cell r="F23">
            <v>0</v>
          </cell>
          <cell r="G23">
            <v>0</v>
          </cell>
          <cell r="H23">
            <v>-0.32334187751985155</v>
          </cell>
          <cell r="I23">
            <v>0</v>
          </cell>
          <cell r="J23">
            <v>0</v>
          </cell>
          <cell r="K23">
            <v>0</v>
          </cell>
          <cell r="L23">
            <v>29584.781628168872</v>
          </cell>
          <cell r="M23">
            <v>67339.037708072952</v>
          </cell>
        </row>
        <row r="24">
          <cell r="B24">
            <v>68469.180849060242</v>
          </cell>
          <cell r="C24">
            <v>49124.850772400154</v>
          </cell>
          <cell r="D24">
            <v>47716.131265654083</v>
          </cell>
          <cell r="E24">
            <v>6882.6846395844332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43199.017041867977</v>
          </cell>
          <cell r="M24">
            <v>52971.2784111566</v>
          </cell>
        </row>
        <row r="28">
          <cell r="B28">
            <v>42740.284891600473</v>
          </cell>
          <cell r="C28">
            <v>43199.442846197177</v>
          </cell>
          <cell r="D28">
            <v>55474.243932686113</v>
          </cell>
          <cell r="E28">
            <v>60030.104934027717</v>
          </cell>
          <cell r="F28">
            <v>66192.936459748133</v>
          </cell>
          <cell r="G28">
            <v>72113.458908221131</v>
          </cell>
          <cell r="H28">
            <v>80862.098753881903</v>
          </cell>
          <cell r="I28">
            <v>42122.560202870998</v>
          </cell>
          <cell r="J28">
            <v>69240.753963237308</v>
          </cell>
          <cell r="K28">
            <v>65804.801699017698</v>
          </cell>
          <cell r="L28">
            <v>52173.648057173465</v>
          </cell>
          <cell r="M28">
            <v>48115.817745486362</v>
          </cell>
        </row>
        <row r="30">
          <cell r="B30">
            <v>70193.243036965825</v>
          </cell>
          <cell r="C30">
            <v>68605.983160592092</v>
          </cell>
          <cell r="D30">
            <v>45648.066298143669</v>
          </cell>
          <cell r="E30">
            <v>14912.128869917491</v>
          </cell>
          <cell r="F30">
            <v>0</v>
          </cell>
          <cell r="G30">
            <v>0</v>
          </cell>
          <cell r="H30">
            <v>0.2422477154104854</v>
          </cell>
          <cell r="I30">
            <v>0</v>
          </cell>
          <cell r="J30">
            <v>0</v>
          </cell>
          <cell r="K30">
            <v>0</v>
          </cell>
          <cell r="L30">
            <v>18774.100705996192</v>
          </cell>
          <cell r="M30">
            <v>48817.311742493141</v>
          </cell>
        </row>
        <row r="35">
          <cell r="B35">
            <v>72680.782218930544</v>
          </cell>
          <cell r="C35">
            <v>66859.89554325903</v>
          </cell>
          <cell r="D35">
            <v>54634.771683628758</v>
          </cell>
          <cell r="E35">
            <v>39084.584638936954</v>
          </cell>
          <cell r="F35">
            <v>41790.44160560413</v>
          </cell>
          <cell r="G35">
            <v>70235.085773907442</v>
          </cell>
          <cell r="H35">
            <v>114834.3729481567</v>
          </cell>
          <cell r="I35">
            <v>119369.94055032027</v>
          </cell>
          <cell r="J35">
            <v>104330.85053452717</v>
          </cell>
          <cell r="K35">
            <v>75215.409542046851</v>
          </cell>
          <cell r="L35">
            <v>73249.546373437828</v>
          </cell>
          <cell r="M35">
            <v>74594.027071535369</v>
          </cell>
        </row>
        <row r="37">
          <cell r="B37">
            <v>217210.02406967728</v>
          </cell>
          <cell r="C37">
            <v>178614.12836928578</v>
          </cell>
          <cell r="D37">
            <v>76935.093489080187</v>
          </cell>
          <cell r="E37">
            <v>18086.720773724825</v>
          </cell>
          <cell r="F37">
            <v>0</v>
          </cell>
          <cell r="G37">
            <v>0</v>
          </cell>
          <cell r="H37">
            <v>-8.8746591442031786E-2</v>
          </cell>
          <cell r="I37">
            <v>0</v>
          </cell>
          <cell r="J37">
            <v>0</v>
          </cell>
          <cell r="K37">
            <v>0</v>
          </cell>
          <cell r="L37">
            <v>47905.02581882228</v>
          </cell>
          <cell r="M37">
            <v>150270.17770346755</v>
          </cell>
        </row>
        <row r="38">
          <cell r="B38">
            <v>153066.16323704773</v>
          </cell>
          <cell r="C38">
            <v>120741.73466298138</v>
          </cell>
          <cell r="D38">
            <v>78126.933898869916</v>
          </cell>
          <cell r="E38">
            <v>9435.2762123677894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91858.736523218278</v>
          </cell>
          <cell r="M38">
            <v>183578.15404298942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741896.9</v>
          </cell>
        </row>
      </sheetData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716942.9</v>
          </cell>
        </row>
      </sheetData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729536.10000000009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696731</v>
          </cell>
        </row>
      </sheetData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703755.1</v>
          </cell>
        </row>
      </sheetData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742513.5</v>
          </cell>
        </row>
      </sheetData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722438.29999999993</v>
          </cell>
        </row>
      </sheetData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735260.70000000007</v>
          </cell>
        </row>
      </sheetData>
      <sheetData sheetId="1"/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735458.1</v>
          </cell>
        </row>
      </sheetData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699266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s_Consumos"/>
      <sheetName val="Folha1"/>
    </sheetNames>
    <sheetDataSet>
      <sheetData sheetId="0">
        <row r="6">
          <cell r="B6">
            <v>127534.18285780319</v>
          </cell>
          <cell r="C6">
            <v>110075.21511869688</v>
          </cell>
          <cell r="D6">
            <v>120489.53730060629</v>
          </cell>
          <cell r="E6">
            <v>119592.839036554</v>
          </cell>
          <cell r="F6">
            <v>118119.07647772707</v>
          </cell>
          <cell r="G6">
            <v>109824.7225121947</v>
          </cell>
          <cell r="H6">
            <v>111411.34801694767</v>
          </cell>
          <cell r="I6">
            <v>95706.615719578607</v>
          </cell>
          <cell r="J6">
            <v>106529.92297373408</v>
          </cell>
          <cell r="K6">
            <v>109268.62644499465</v>
          </cell>
          <cell r="L6">
            <v>110544.94759604581</v>
          </cell>
          <cell r="M6">
            <v>111769.63739115441</v>
          </cell>
        </row>
        <row r="7">
          <cell r="B7">
            <v>114214.43025196025</v>
          </cell>
          <cell r="C7">
            <v>104887.44122405455</v>
          </cell>
          <cell r="D7">
            <v>120088.79361382684</v>
          </cell>
          <cell r="E7">
            <v>110481.76786959523</v>
          </cell>
          <cell r="F7">
            <v>114041.084766917</v>
          </cell>
          <cell r="G7">
            <v>103736.90507981859</v>
          </cell>
          <cell r="H7">
            <v>111515.93454484755</v>
          </cell>
          <cell r="I7">
            <v>92632.122581135161</v>
          </cell>
          <cell r="J7">
            <v>101550.18815111333</v>
          </cell>
          <cell r="K7">
            <v>109709.59246041346</v>
          </cell>
          <cell r="L7">
            <v>128813.46146805643</v>
          </cell>
          <cell r="M7">
            <v>105609.2670943858</v>
          </cell>
        </row>
        <row r="21">
          <cell r="B21">
            <v>43879.118642852292</v>
          </cell>
          <cell r="C21">
            <v>48861.969961270748</v>
          </cell>
          <cell r="D21">
            <v>54060.112197618299</v>
          </cell>
          <cell r="E21">
            <v>50943.917761671713</v>
          </cell>
          <cell r="F21">
            <v>61777.362598175809</v>
          </cell>
          <cell r="G21">
            <v>86045.005646365418</v>
          </cell>
          <cell r="H21">
            <v>82999.603238863332</v>
          </cell>
          <cell r="I21">
            <v>80152.733248874749</v>
          </cell>
          <cell r="J21">
            <v>78886.721991056969</v>
          </cell>
          <cell r="K21">
            <v>71243.499348577301</v>
          </cell>
          <cell r="L21">
            <v>53523.511490512908</v>
          </cell>
          <cell r="M21">
            <v>48298.826009296034</v>
          </cell>
        </row>
        <row r="22">
          <cell r="B22">
            <v>46103.852187250908</v>
          </cell>
          <cell r="C22">
            <v>47422.331667857397</v>
          </cell>
          <cell r="D22">
            <v>48263.084478557881</v>
          </cell>
          <cell r="E22">
            <v>47077.239749740555</v>
          </cell>
          <cell r="F22">
            <v>62175.568589239192</v>
          </cell>
          <cell r="G22">
            <v>69153.762718784099</v>
          </cell>
          <cell r="H22">
            <v>97725.494635613984</v>
          </cell>
          <cell r="I22">
            <v>92027.607485239612</v>
          </cell>
          <cell r="J22">
            <v>80601.691877872756</v>
          </cell>
          <cell r="K22">
            <v>53253.220526601617</v>
          </cell>
          <cell r="L22">
            <v>51031.801750725041</v>
          </cell>
          <cell r="M22">
            <v>46481.257972845931</v>
          </cell>
        </row>
        <row r="23">
          <cell r="B23">
            <v>78620.211268184532</v>
          </cell>
          <cell r="C23">
            <v>64645.04741628316</v>
          </cell>
          <cell r="D23">
            <v>17138.781956008843</v>
          </cell>
          <cell r="E23">
            <v>2467.8223929698574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13383.536906178013</v>
          </cell>
          <cell r="M23">
            <v>44031.808868014996</v>
          </cell>
        </row>
        <row r="24">
          <cell r="B24">
            <v>49824.892435473521</v>
          </cell>
          <cell r="C24">
            <v>54631.411134325361</v>
          </cell>
          <cell r="D24">
            <v>40584.037593899557</v>
          </cell>
          <cell r="E24">
            <v>5089.8775870352556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23701.043420632664</v>
          </cell>
          <cell r="M24">
            <v>54189.245282492673</v>
          </cell>
        </row>
      </sheetData>
      <sheetData sheetId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734567.20000000007</v>
          </cell>
        </row>
      </sheetData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721753.5</v>
          </cell>
        </row>
      </sheetData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742573.9</v>
          </cell>
        </row>
      </sheetData>
      <sheetData sheetId="1"/>
      <sheetData sheetId="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717352.9</v>
          </cell>
        </row>
      </sheetData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733855.10000000009</v>
          </cell>
        </row>
      </sheetData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699832</v>
          </cell>
        </row>
      </sheetData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706729.1</v>
          </cell>
        </row>
      </sheetData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736006</v>
          </cell>
        </row>
      </sheetData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724225.29999999993</v>
          </cell>
        </row>
      </sheetData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732498.45000000007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s_Consumos"/>
      <sheetName val="Folha1"/>
    </sheetNames>
    <sheetDataSet>
      <sheetData sheetId="0">
        <row r="6">
          <cell r="B6">
            <v>107477.60549332235</v>
          </cell>
          <cell r="C6">
            <v>95716.268494025484</v>
          </cell>
          <cell r="D6">
            <v>104305.51243212511</v>
          </cell>
          <cell r="E6">
            <v>100194.20631868737</v>
          </cell>
          <cell r="F6">
            <v>104186.83860065979</v>
          </cell>
          <cell r="G6">
            <v>101061.09400405805</v>
          </cell>
          <cell r="H6">
            <v>98711.818538541949</v>
          </cell>
          <cell r="I6">
            <v>92419.752284148271</v>
          </cell>
          <cell r="J6">
            <v>99628.828707465742</v>
          </cell>
          <cell r="K6">
            <v>108287.06223028527</v>
          </cell>
          <cell r="L6">
            <v>102885.19718868876</v>
          </cell>
          <cell r="M6">
            <v>101124.67324967906</v>
          </cell>
        </row>
        <row r="7">
          <cell r="B7">
            <v>102084.16939617167</v>
          </cell>
          <cell r="C7">
            <v>95825.384622570142</v>
          </cell>
          <cell r="D7">
            <v>100668.95974131358</v>
          </cell>
          <cell r="E7">
            <v>99128.59580209585</v>
          </cell>
          <cell r="F7">
            <v>100930.7997317978</v>
          </cell>
          <cell r="G7">
            <v>93370.232719600055</v>
          </cell>
          <cell r="H7">
            <v>91202.074731917513</v>
          </cell>
          <cell r="I7">
            <v>73963.293922081488</v>
          </cell>
          <cell r="J7">
            <v>91480.52804874345</v>
          </cell>
          <cell r="K7">
            <v>101904.55278989873</v>
          </cell>
          <cell r="L7">
            <v>108065.54092847316</v>
          </cell>
          <cell r="M7">
            <v>109538.80743228427</v>
          </cell>
        </row>
        <row r="12">
          <cell r="B12">
            <v>58528.295214600257</v>
          </cell>
          <cell r="C12">
            <v>63898.623170979758</v>
          </cell>
          <cell r="D12">
            <v>55537.474424245964</v>
          </cell>
          <cell r="E12">
            <v>67516.363778836909</v>
          </cell>
          <cell r="F12">
            <v>63097.104133378351</v>
          </cell>
          <cell r="G12">
            <v>56300.057276456151</v>
          </cell>
          <cell r="H12">
            <v>47252.798815531409</v>
          </cell>
          <cell r="I12">
            <v>31051.873005929541</v>
          </cell>
          <cell r="J12">
            <v>57158.756980853657</v>
          </cell>
          <cell r="K12">
            <v>46929.549196865177</v>
          </cell>
          <cell r="L12">
            <v>37788.548905664764</v>
          </cell>
          <cell r="M12">
            <v>41510.586013153734</v>
          </cell>
        </row>
        <row r="16">
          <cell r="B16">
            <v>150015.95421679007</v>
          </cell>
          <cell r="C16">
            <v>129443.63808783038</v>
          </cell>
          <cell r="D16">
            <v>139735.14433080729</v>
          </cell>
          <cell r="E16">
            <v>128495.02133175053</v>
          </cell>
          <cell r="F16">
            <v>125640.05800207907</v>
          </cell>
          <cell r="G16">
            <v>115733.84071722592</v>
          </cell>
          <cell r="H16">
            <v>138841.00520921731</v>
          </cell>
          <cell r="I16">
            <v>131711.52810503606</v>
          </cell>
          <cell r="J16">
            <v>130233.22299183604</v>
          </cell>
          <cell r="K16">
            <v>128678.06952045469</v>
          </cell>
          <cell r="L16">
            <v>129225.61789198764</v>
          </cell>
          <cell r="M16">
            <v>134463.01604962884</v>
          </cell>
        </row>
        <row r="17">
          <cell r="B17">
            <v>133777.53196069587</v>
          </cell>
          <cell r="C17">
            <v>127949.45974578116</v>
          </cell>
          <cell r="D17">
            <v>159157.03824801941</v>
          </cell>
          <cell r="E17">
            <v>126542.34972613362</v>
          </cell>
          <cell r="F17">
            <v>123452.76761464005</v>
          </cell>
          <cell r="G17">
            <v>127052.67340196794</v>
          </cell>
          <cell r="H17">
            <v>127727.84481790484</v>
          </cell>
          <cell r="I17">
            <v>136852.02737624667</v>
          </cell>
          <cell r="J17">
            <v>134536.6344871365</v>
          </cell>
          <cell r="K17">
            <v>138139.03667900219</v>
          </cell>
          <cell r="L17">
            <v>155739.12646136878</v>
          </cell>
          <cell r="M17">
            <v>134925.27196460578</v>
          </cell>
        </row>
        <row r="21">
          <cell r="B21">
            <v>50135.44123594604</v>
          </cell>
          <cell r="C21">
            <v>44441.653560590712</v>
          </cell>
          <cell r="D21">
            <v>48183.779142567357</v>
          </cell>
          <cell r="E21">
            <v>57962.17362606214</v>
          </cell>
          <cell r="F21">
            <v>68463.642870522206</v>
          </cell>
          <cell r="G21">
            <v>66053.565277038433</v>
          </cell>
          <cell r="H21">
            <v>67814.422192386279</v>
          </cell>
          <cell r="I21">
            <v>54112.113803559776</v>
          </cell>
          <cell r="J21">
            <v>58055.545705900127</v>
          </cell>
          <cell r="K21">
            <v>50327.385718332807</v>
          </cell>
          <cell r="L21">
            <v>17999.177000809123</v>
          </cell>
          <cell r="M21">
            <v>17651.447</v>
          </cell>
        </row>
        <row r="22">
          <cell r="B22">
            <v>21801.986999819092</v>
          </cell>
          <cell r="C22">
            <v>26951.720583988208</v>
          </cell>
          <cell r="D22">
            <v>31463.623331328385</v>
          </cell>
          <cell r="E22">
            <v>29082.744317511064</v>
          </cell>
          <cell r="F22">
            <v>47867.52780650444</v>
          </cell>
          <cell r="G22">
            <v>51345.16662380792</v>
          </cell>
          <cell r="H22">
            <v>61483.830801096221</v>
          </cell>
          <cell r="I22">
            <v>29082.744317511064</v>
          </cell>
          <cell r="J22">
            <v>63917.24802708489</v>
          </cell>
          <cell r="K22">
            <v>45099.959966654475</v>
          </cell>
          <cell r="L22">
            <v>44438.647517787555</v>
          </cell>
          <cell r="M22">
            <v>23687.909704429272</v>
          </cell>
        </row>
        <row r="23">
          <cell r="B23">
            <v>56541.984734993355</v>
          </cell>
          <cell r="C23">
            <v>46622.44708126974</v>
          </cell>
          <cell r="D23">
            <v>24132.230458290851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24673.6955061761</v>
          </cell>
          <cell r="M23">
            <v>37216.564411162777</v>
          </cell>
        </row>
        <row r="24">
          <cell r="B24">
            <v>42305.942468414003</v>
          </cell>
          <cell r="C24">
            <v>52677.02819739603</v>
          </cell>
          <cell r="D24">
            <v>13009.282015054469</v>
          </cell>
          <cell r="E24">
            <v>6876.6129671801809</v>
          </cell>
          <cell r="F24">
            <v>1803.5368802055968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2521.8596259020028</v>
          </cell>
          <cell r="L24">
            <v>24001</v>
          </cell>
          <cell r="M24">
            <v>37985.926254607424</v>
          </cell>
        </row>
        <row r="29">
          <cell r="B29">
            <v>17220.528270771872</v>
          </cell>
          <cell r="C29">
            <v>24835.354193742962</v>
          </cell>
          <cell r="D29">
            <v>22041.958089885095</v>
          </cell>
          <cell r="E29">
            <v>28011.62790251373</v>
          </cell>
          <cell r="F29">
            <v>33854.595494317851</v>
          </cell>
          <cell r="G29">
            <v>38376.386902257764</v>
          </cell>
          <cell r="H29">
            <v>37237.985627467213</v>
          </cell>
          <cell r="I29">
            <v>27914.117877515582</v>
          </cell>
          <cell r="J29">
            <v>33536.126550031178</v>
          </cell>
          <cell r="K29">
            <v>23510.632472206024</v>
          </cell>
          <cell r="L29">
            <v>25103</v>
          </cell>
          <cell r="M29">
            <v>17953.376914968539</v>
          </cell>
        </row>
        <row r="31">
          <cell r="B31">
            <v>29826.638901618975</v>
          </cell>
          <cell r="C31">
            <v>62981.735460049516</v>
          </cell>
          <cell r="D31">
            <v>9521.7829494494545</v>
          </cell>
          <cell r="E31">
            <v>8285.48098593127</v>
          </cell>
          <cell r="F31">
            <v>1471.1097520812054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1316.3492891218398</v>
          </cell>
          <cell r="L31">
            <v>15353</v>
          </cell>
          <cell r="M31">
            <v>30678.327523449421</v>
          </cell>
        </row>
        <row r="35">
          <cell r="B35">
            <v>75261.80113976862</v>
          </cell>
          <cell r="C35">
            <v>53813.18689699204</v>
          </cell>
          <cell r="D35">
            <v>68765.723398249349</v>
          </cell>
          <cell r="E35">
            <v>72344.153473920334</v>
          </cell>
          <cell r="F35">
            <v>77765.692287899379</v>
          </cell>
          <cell r="G35">
            <v>81294.607802990897</v>
          </cell>
          <cell r="H35">
            <v>105431.35105604967</v>
          </cell>
          <cell r="I35">
            <v>89050.57669344313</v>
          </cell>
          <cell r="J35">
            <v>76112.226982569075</v>
          </cell>
          <cell r="K35">
            <v>61034.828464313527</v>
          </cell>
          <cell r="L35">
            <v>37597.62075932166</v>
          </cell>
          <cell r="M35">
            <v>28605.900352011638</v>
          </cell>
        </row>
        <row r="36">
          <cell r="B36">
            <v>33096.102576553181</v>
          </cell>
          <cell r="C36">
            <v>57494.130813979085</v>
          </cell>
          <cell r="D36">
            <v>79346.511025518266</v>
          </cell>
          <cell r="E36">
            <v>84157.079301883947</v>
          </cell>
          <cell r="F36">
            <v>128030.58759126261</v>
          </cell>
          <cell r="G36">
            <v>145470.15700288635</v>
          </cell>
          <cell r="H36">
            <v>153850.76893798754</v>
          </cell>
          <cell r="I36">
            <v>155124.03013527708</v>
          </cell>
          <cell r="J36">
            <v>159583.15679684366</v>
          </cell>
          <cell r="K36">
            <v>112365.37581356632</v>
          </cell>
          <cell r="L36">
            <v>89296.298693724122</v>
          </cell>
          <cell r="M36">
            <v>39503.335890452938</v>
          </cell>
        </row>
        <row r="37">
          <cell r="B37">
            <v>175359.64063288199</v>
          </cell>
          <cell r="C37">
            <v>130098.56821283601</v>
          </cell>
          <cell r="D37">
            <v>74613.695928762827</v>
          </cell>
          <cell r="E37">
            <v>74613.695928762827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64750.655483303737</v>
          </cell>
          <cell r="M37">
            <v>121437.37337088001</v>
          </cell>
        </row>
        <row r="38">
          <cell r="B38">
            <v>136786.75078460801</v>
          </cell>
          <cell r="C38">
            <v>231563.08568567244</v>
          </cell>
          <cell r="D38">
            <v>63574.141962700647</v>
          </cell>
          <cell r="E38">
            <v>37933.065713717588</v>
          </cell>
          <cell r="F38">
            <v>8672.016307139409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11582.122297358012</v>
          </cell>
          <cell r="L38">
            <v>95050</v>
          </cell>
          <cell r="M38">
            <v>135612.40683544317</v>
          </cell>
        </row>
      </sheetData>
      <sheetData sheetId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7">
          <cell r="I47">
            <v>17.3</v>
          </cell>
        </row>
        <row r="53">
          <cell r="I53">
            <v>734799.6</v>
          </cell>
        </row>
      </sheetData>
      <sheetData sheetId="1"/>
      <sheetData sheetId="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7">
          <cell r="I47">
            <v>17.900000000000002</v>
          </cell>
        </row>
        <row r="53">
          <cell r="I53">
            <v>676446.4</v>
          </cell>
        </row>
      </sheetData>
      <sheetData sheetId="1"/>
      <sheetData sheetId="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69.933512750920627</v>
          </cell>
        </row>
        <row r="53">
          <cell r="I53">
            <v>735126.4</v>
          </cell>
        </row>
      </sheetData>
      <sheetData sheetId="1"/>
      <sheetData sheetId="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71.149036145762679</v>
          </cell>
        </row>
        <row r="53">
          <cell r="I53">
            <v>723777.8</v>
          </cell>
        </row>
      </sheetData>
      <sheetData sheetId="1"/>
      <sheetData sheetId="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70.986711111999</v>
          </cell>
        </row>
        <row r="53">
          <cell r="I53">
            <v>746197.4</v>
          </cell>
        </row>
      </sheetData>
      <sheetData sheetId="1"/>
      <sheetData sheetId="2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70.418443481081724</v>
          </cell>
        </row>
        <row r="53">
          <cell r="I53">
            <v>716345.70000000007</v>
          </cell>
        </row>
      </sheetData>
      <sheetData sheetId="1"/>
      <sheetData sheetId="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69.742936264898759</v>
          </cell>
        </row>
        <row r="53">
          <cell r="I53">
            <v>733123.10000000009</v>
          </cell>
        </row>
      </sheetData>
      <sheetData sheetId="1"/>
      <sheetData sheetId="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66.305434183902079</v>
          </cell>
        </row>
        <row r="53">
          <cell r="I53">
            <v>696988.8</v>
          </cell>
        </row>
      </sheetData>
      <sheetData sheetId="1"/>
      <sheetData sheetId="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69.218732489899423</v>
          </cell>
        </row>
        <row r="53">
          <cell r="I53">
            <v>704141.39999999991</v>
          </cell>
        </row>
      </sheetData>
      <sheetData sheetId="1"/>
      <sheetData sheetId="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70.049439724347607</v>
          </cell>
        </row>
        <row r="53">
          <cell r="I53">
            <v>736345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s_Consumos"/>
      <sheetName val="Folha1"/>
    </sheetNames>
    <sheetDataSet>
      <sheetData sheetId="0">
        <row r="7">
          <cell r="N7">
            <v>1350866.6714460372</v>
          </cell>
        </row>
        <row r="12">
          <cell r="B12">
            <v>53496.332423999913</v>
          </cell>
          <cell r="C12">
            <v>55428.457100832406</v>
          </cell>
          <cell r="D12">
            <v>65077.584059365239</v>
          </cell>
          <cell r="E12">
            <v>60911.526055211107</v>
          </cell>
          <cell r="F12">
            <v>62124.430786560399</v>
          </cell>
          <cell r="G12">
            <v>60354.694463133914</v>
          </cell>
          <cell r="H12">
            <v>60084.863997209817</v>
          </cell>
          <cell r="I12">
            <v>47819.497869497223</v>
          </cell>
          <cell r="J12">
            <v>69312.893805126601</v>
          </cell>
          <cell r="K12">
            <v>62547.279032584906</v>
          </cell>
          <cell r="L12">
            <v>67663.260650733806</v>
          </cell>
          <cell r="M12">
            <v>61693.260825511112</v>
          </cell>
        </row>
        <row r="16">
          <cell r="B16">
            <v>168376.92508732941</v>
          </cell>
          <cell r="C16">
            <v>139221.38981472439</v>
          </cell>
          <cell r="D16">
            <v>132921.15613325813</v>
          </cell>
          <cell r="E16">
            <v>121844.24581486464</v>
          </cell>
          <cell r="F16">
            <v>132695.65366928131</v>
          </cell>
          <cell r="G16">
            <v>113789.0622277287</v>
          </cell>
          <cell r="H16">
            <v>128130.79070343323</v>
          </cell>
          <cell r="I16">
            <v>119879.01668668447</v>
          </cell>
          <cell r="J16">
            <v>114438.22967897165</v>
          </cell>
          <cell r="K16">
            <v>125483.54761291607</v>
          </cell>
          <cell r="L16">
            <v>132629.20821754538</v>
          </cell>
          <cell r="M16">
            <v>147920.08639782105</v>
          </cell>
        </row>
        <row r="17">
          <cell r="B17">
            <v>140087.10681812651</v>
          </cell>
          <cell r="C17">
            <v>116252.54445727274</v>
          </cell>
          <cell r="D17">
            <v>131337.83105237747</v>
          </cell>
          <cell r="E17">
            <v>125682.52263945162</v>
          </cell>
          <cell r="F17">
            <v>130760.56474299387</v>
          </cell>
          <cell r="G17">
            <v>131385.84123325071</v>
          </cell>
          <cell r="H17">
            <v>139434.38179434335</v>
          </cell>
          <cell r="I17">
            <v>141364.9790096065</v>
          </cell>
          <cell r="J17">
            <v>117901.30646513788</v>
          </cell>
          <cell r="K17">
            <v>133633.97852607348</v>
          </cell>
          <cell r="L17">
            <v>128275.30878648552</v>
          </cell>
          <cell r="M17">
            <v>141105.35433587138</v>
          </cell>
        </row>
        <row r="28">
          <cell r="B28">
            <v>47171.94374566467</v>
          </cell>
          <cell r="C28">
            <v>49918.092992897764</v>
          </cell>
          <cell r="D28">
            <v>51838.910109956312</v>
          </cell>
          <cell r="E28">
            <v>47663.364195049493</v>
          </cell>
          <cell r="F28">
            <v>46435.610390364309</v>
          </cell>
          <cell r="G28">
            <v>65118.573697801818</v>
          </cell>
          <cell r="H28">
            <v>64105.456019762394</v>
          </cell>
          <cell r="I28">
            <v>46955.370377432497</v>
          </cell>
          <cell r="J28">
            <v>52440.459545033453</v>
          </cell>
          <cell r="K28">
            <v>46103.002401981103</v>
          </cell>
          <cell r="L28">
            <v>35130.009070380773</v>
          </cell>
          <cell r="M28">
            <v>37965.771607312585</v>
          </cell>
        </row>
        <row r="29">
          <cell r="B29">
            <v>28532.848187309624</v>
          </cell>
          <cell r="C29">
            <v>32755.760966002039</v>
          </cell>
          <cell r="D29">
            <v>37702.165793561318</v>
          </cell>
          <cell r="E29">
            <v>36666.623902968699</v>
          </cell>
          <cell r="F29">
            <v>51648.09203354449</v>
          </cell>
          <cell r="G29">
            <v>60850.567017703106</v>
          </cell>
          <cell r="H29">
            <v>50001.854748823571</v>
          </cell>
          <cell r="I29">
            <v>32778.652645765593</v>
          </cell>
          <cell r="J29">
            <v>69755.928471988474</v>
          </cell>
          <cell r="K29">
            <v>63414.795289946138</v>
          </cell>
          <cell r="L29">
            <v>49697.423875910317</v>
          </cell>
          <cell r="M29">
            <v>36896.067248431551</v>
          </cell>
        </row>
        <row r="30">
          <cell r="B30">
            <v>44112.814714775188</v>
          </cell>
          <cell r="C30">
            <v>42680.17097951311</v>
          </cell>
          <cell r="D30">
            <v>30419.847060619431</v>
          </cell>
          <cell r="E30">
            <v>4437.6955647029754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26575.434607038609</v>
          </cell>
          <cell r="M30">
            <v>54551.722719929756</v>
          </cell>
        </row>
        <row r="31">
          <cell r="B31">
            <v>43019.778901109523</v>
          </cell>
          <cell r="C31">
            <v>45748.332254175672</v>
          </cell>
          <cell r="D31">
            <v>10797.693294321347</v>
          </cell>
          <cell r="E31">
            <v>1893.076149094537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14262.839964488952</v>
          </cell>
          <cell r="M31">
            <v>35080.835786601107</v>
          </cell>
        </row>
        <row r="35">
          <cell r="B35">
            <v>82710.631760324919</v>
          </cell>
          <cell r="C35">
            <v>74461.075334167341</v>
          </cell>
          <cell r="D35">
            <v>73817.494341867408</v>
          </cell>
          <cell r="E35">
            <v>63096.926568178787</v>
          </cell>
          <cell r="F35">
            <v>72425.523100925318</v>
          </cell>
          <cell r="G35">
            <v>102106.58044409135</v>
          </cell>
          <cell r="H35">
            <v>128876.07660069615</v>
          </cell>
          <cell r="I35">
            <v>141651.24167574741</v>
          </cell>
          <cell r="J35">
            <v>119224.49004263975</v>
          </cell>
          <cell r="K35">
            <v>76913.517110882865</v>
          </cell>
          <cell r="L35">
            <v>67559.45749445603</v>
          </cell>
          <cell r="M35">
            <v>90290.406522406905</v>
          </cell>
        </row>
        <row r="36">
          <cell r="B36">
            <v>81538.180583226043</v>
          </cell>
          <cell r="C36">
            <v>67425.910865990096</v>
          </cell>
          <cell r="D36">
            <v>93748.208196884574</v>
          </cell>
          <cell r="E36">
            <v>85789.047513720405</v>
          </cell>
          <cell r="F36">
            <v>78924.601152306815</v>
          </cell>
          <cell r="G36">
            <v>116195.12179374056</v>
          </cell>
          <cell r="H36">
            <v>142398.80861637159</v>
          </cell>
          <cell r="I36">
            <v>132895.85290239714</v>
          </cell>
          <cell r="J36">
            <v>91919.900552149076</v>
          </cell>
          <cell r="K36">
            <v>100807.17516798031</v>
          </cell>
          <cell r="L36">
            <v>79895.463180285398</v>
          </cell>
          <cell r="M36">
            <v>90027.883668210663</v>
          </cell>
        </row>
        <row r="38">
          <cell r="B38">
            <v>226545.46553327411</v>
          </cell>
          <cell r="C38">
            <v>147573.38022015718</v>
          </cell>
          <cell r="D38">
            <v>49131.64707028347</v>
          </cell>
          <cell r="E38">
            <v>7021.8405730390004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35679.16117078274</v>
          </cell>
          <cell r="M38">
            <v>148805.59677716807</v>
          </cell>
        </row>
      </sheetData>
      <sheetData sheetId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70.312778318440536</v>
          </cell>
        </row>
        <row r="53">
          <cell r="I53">
            <v>715270.79999999993</v>
          </cell>
        </row>
      </sheetData>
      <sheetData sheetId="1"/>
      <sheetData sheetId="2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69.412383618774726</v>
          </cell>
        </row>
        <row r="53">
          <cell r="I53">
            <v>729648.4</v>
          </cell>
        </row>
      </sheetData>
      <sheetData sheetId="1"/>
      <sheetData sheetId="2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69.179159781540534</v>
          </cell>
        </row>
        <row r="53">
          <cell r="I53">
            <v>727196.79999999993</v>
          </cell>
        </row>
      </sheetData>
      <sheetData sheetId="1"/>
      <sheetData sheetId="2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70.601820839810756</v>
          </cell>
        </row>
        <row r="53">
          <cell r="I53">
            <v>670330.4</v>
          </cell>
        </row>
      </sheetData>
      <sheetData sheetId="1"/>
      <sheetData sheetId="2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70.28369097936698</v>
          </cell>
        </row>
        <row r="53">
          <cell r="I53">
            <v>738807.4</v>
          </cell>
        </row>
      </sheetData>
      <sheetData sheetId="1"/>
      <sheetData sheetId="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70.503022796307775</v>
          </cell>
        </row>
        <row r="53">
          <cell r="I53">
            <v>717206.10000000009</v>
          </cell>
        </row>
      </sheetData>
      <sheetData sheetId="1"/>
      <sheetData sheetId="2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70.92693061790618</v>
          </cell>
        </row>
        <row r="53">
          <cell r="I53">
            <v>745569</v>
          </cell>
        </row>
      </sheetData>
      <sheetData sheetId="1"/>
      <sheetData sheetId="2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70.207221288350198</v>
          </cell>
        </row>
        <row r="53">
          <cell r="I53">
            <v>714197</v>
          </cell>
        </row>
      </sheetData>
      <sheetData sheetId="1"/>
      <sheetData sheetId="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70.015905949414901</v>
          </cell>
        </row>
        <row r="53">
          <cell r="I53">
            <v>735992.5</v>
          </cell>
        </row>
      </sheetData>
      <sheetData sheetId="1"/>
      <sheetData sheetId="2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66.283097360202206</v>
          </cell>
        </row>
        <row r="53">
          <cell r="I53">
            <v>696754</v>
          </cell>
        </row>
      </sheetData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s_Consumos"/>
      <sheetName val="Folha1"/>
    </sheetNames>
    <sheetDataSet>
      <sheetData sheetId="0">
        <row r="7">
          <cell r="N7">
            <v>1215998.8575416873</v>
          </cell>
        </row>
        <row r="11">
          <cell r="B11">
            <v>60450.546916731269</v>
          </cell>
          <cell r="C11">
            <v>65299.333465937416</v>
          </cell>
          <cell r="D11">
            <v>67684.398130534537</v>
          </cell>
          <cell r="E11">
            <v>62269.690098627048</v>
          </cell>
          <cell r="F11">
            <v>67979.144897236838</v>
          </cell>
          <cell r="G11">
            <v>62799.726157837911</v>
          </cell>
          <cell r="H11">
            <v>57969.465852777925</v>
          </cell>
          <cell r="I11">
            <v>51952.148907073039</v>
          </cell>
          <cell r="J11">
            <v>50771.725552590673</v>
          </cell>
          <cell r="K11">
            <v>63917.239187367886</v>
          </cell>
          <cell r="L11">
            <v>47266.305224352895</v>
          </cell>
          <cell r="M11">
            <v>54848.513210417281</v>
          </cell>
        </row>
        <row r="12">
          <cell r="B12">
            <v>65212.21665669122</v>
          </cell>
          <cell r="C12">
            <v>68151.258984830682</v>
          </cell>
          <cell r="D12">
            <v>61351.292480627497</v>
          </cell>
          <cell r="E12">
            <v>57223.041522382657</v>
          </cell>
          <cell r="F12">
            <v>68505.60576887583</v>
          </cell>
          <cell r="G12">
            <v>57648.060683418938</v>
          </cell>
          <cell r="H12">
            <v>51749.575150142453</v>
          </cell>
          <cell r="I12">
            <v>43298.950189800031</v>
          </cell>
          <cell r="J12">
            <v>45564.89323833424</v>
          </cell>
          <cell r="K12">
            <v>56171.241791125285</v>
          </cell>
          <cell r="L12">
            <v>59160.489918773164</v>
          </cell>
          <cell r="M12">
            <v>52996.34980842712</v>
          </cell>
        </row>
        <row r="16">
          <cell r="B16">
            <v>146213.00855721527</v>
          </cell>
          <cell r="C16">
            <v>130767.8468795591</v>
          </cell>
          <cell r="D16">
            <v>144555.9320208868</v>
          </cell>
          <cell r="E16">
            <v>132991.55104399141</v>
          </cell>
          <cell r="F16">
            <v>131967.52580517324</v>
          </cell>
          <cell r="G16">
            <v>123843.23081077928</v>
          </cell>
          <cell r="H16">
            <v>127201.16788484556</v>
          </cell>
          <cell r="I16">
            <v>134825.0943754341</v>
          </cell>
          <cell r="J16">
            <v>128389.23173493684</v>
          </cell>
          <cell r="K16">
            <v>136916.0721547498</v>
          </cell>
          <cell r="L16">
            <v>123438.49333769016</v>
          </cell>
          <cell r="M16">
            <v>143244.22021197301</v>
          </cell>
        </row>
        <row r="28">
          <cell r="B28">
            <v>42042.039141122645</v>
          </cell>
          <cell r="C28">
            <v>37182.149179966793</v>
          </cell>
          <cell r="D28">
            <v>41491.263760286674</v>
          </cell>
          <cell r="E28">
            <v>41592.774375356443</v>
          </cell>
          <cell r="F28">
            <v>48588.905400472926</v>
          </cell>
          <cell r="G28">
            <v>49355.363968543876</v>
          </cell>
          <cell r="H28">
            <v>50969.955866542194</v>
          </cell>
          <cell r="I28">
            <v>39185.627260871879</v>
          </cell>
          <cell r="J28">
            <v>51412.782085233477</v>
          </cell>
          <cell r="K28">
            <v>52251.55224474796</v>
          </cell>
          <cell r="L28">
            <v>35303.52485232507</v>
          </cell>
          <cell r="M28">
            <v>34273.386791912373</v>
          </cell>
        </row>
        <row r="29">
          <cell r="B29">
            <v>43693.134752849845</v>
          </cell>
          <cell r="C29">
            <v>26197.960584204699</v>
          </cell>
          <cell r="D29">
            <v>28155.137263316341</v>
          </cell>
          <cell r="E29">
            <v>36977.347731536611</v>
          </cell>
          <cell r="F29">
            <v>61602.460319967562</v>
          </cell>
          <cell r="G29">
            <v>47994.533689326774</v>
          </cell>
          <cell r="H29">
            <v>38807.771366610839</v>
          </cell>
          <cell r="I29">
            <v>22423.580126002165</v>
          </cell>
          <cell r="J29">
            <v>31800.127362425039</v>
          </cell>
          <cell r="K29">
            <v>45362.649181079367</v>
          </cell>
          <cell r="L29">
            <v>33432.330631673634</v>
          </cell>
          <cell r="M29">
            <v>17590.499000000003</v>
          </cell>
        </row>
        <row r="30">
          <cell r="B30">
            <v>55153.090915238208</v>
          </cell>
          <cell r="C30">
            <v>53153.98805988198</v>
          </cell>
          <cell r="D30">
            <v>38671.59500104902</v>
          </cell>
          <cell r="E30">
            <v>4230.7828027557507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13345.566426463309</v>
          </cell>
          <cell r="M30">
            <v>39029.459269235645</v>
          </cell>
        </row>
        <row r="31">
          <cell r="B31">
            <v>65617.485752031207</v>
          </cell>
          <cell r="C31">
            <v>27117.697586190854</v>
          </cell>
          <cell r="D31">
            <v>14129.833724041237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30953.123001724205</v>
          </cell>
          <cell r="M31">
            <v>33342.519851368583</v>
          </cell>
        </row>
        <row r="35">
          <cell r="B35">
            <v>87537.348146829783</v>
          </cell>
          <cell r="C35">
            <v>73717.073515535521</v>
          </cell>
          <cell r="D35">
            <v>101631.62716054257</v>
          </cell>
          <cell r="E35">
            <v>96368.344433453458</v>
          </cell>
          <cell r="F35">
            <v>99561.751812483199</v>
          </cell>
          <cell r="G35">
            <v>116555.6375987557</v>
          </cell>
          <cell r="H35">
            <v>161098.63375615171</v>
          </cell>
          <cell r="I35">
            <v>168555.70220596343</v>
          </cell>
          <cell r="J35">
            <v>113138.42343703382</v>
          </cell>
          <cell r="K35">
            <v>72605.788126513988</v>
          </cell>
          <cell r="L35">
            <v>62892.787302829252</v>
          </cell>
          <cell r="M35">
            <v>82432.988703297451</v>
          </cell>
        </row>
        <row r="37">
          <cell r="B37">
            <v>177403.63066994239</v>
          </cell>
          <cell r="C37">
            <v>173883.40008417214</v>
          </cell>
          <cell r="D37">
            <v>158428.39409871685</v>
          </cell>
          <cell r="E37">
            <v>16905.769992250735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55386.367483866903</v>
          </cell>
          <cell r="M37">
            <v>184686.12577917159</v>
          </cell>
        </row>
      </sheetData>
      <sheetData sheetId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69.521690406676697</v>
          </cell>
        </row>
        <row r="53">
          <cell r="I53">
            <v>707223.29999999993</v>
          </cell>
        </row>
      </sheetData>
      <sheetData sheetId="1"/>
      <sheetData sheetId="2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69.848227561623659</v>
          </cell>
        </row>
        <row r="53">
          <cell r="I53">
            <v>734229.9</v>
          </cell>
        </row>
      </sheetData>
      <sheetData sheetId="1"/>
      <sheetData sheetId="2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70.65726896497489</v>
          </cell>
        </row>
        <row r="53">
          <cell r="I53">
            <v>718775.2</v>
          </cell>
        </row>
      </sheetData>
      <sheetData sheetId="1"/>
      <sheetData sheetId="2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69.35524777416596</v>
          </cell>
        </row>
        <row r="53">
          <cell r="I53">
            <v>729047.8</v>
          </cell>
        </row>
      </sheetData>
      <sheetData sheetId="1"/>
      <sheetData sheetId="2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69.111578522782509</v>
          </cell>
        </row>
        <row r="53">
          <cell r="I53">
            <v>726486.4</v>
          </cell>
        </row>
      </sheetData>
      <sheetData sheetId="1"/>
      <sheetData sheetId="2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71.09968697733008</v>
          </cell>
        </row>
        <row r="53">
          <cell r="I53">
            <v>675057.4</v>
          </cell>
        </row>
      </sheetData>
      <sheetData sheetId="1"/>
      <sheetData sheetId="2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69.874369636379726</v>
          </cell>
        </row>
        <row r="53">
          <cell r="I53">
            <v>734504.70000000007</v>
          </cell>
        </row>
      </sheetData>
      <sheetData sheetId="1"/>
      <sheetData sheetId="2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69.692647969565598</v>
          </cell>
        </row>
        <row r="53">
          <cell r="I53">
            <v>708962.4</v>
          </cell>
        </row>
      </sheetData>
      <sheetData sheetId="1"/>
      <sheetData sheetId="2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70.213474584252538</v>
          </cell>
        </row>
        <row r="53">
          <cell r="I53">
            <v>738069.3</v>
          </cell>
        </row>
      </sheetData>
      <sheetData sheetId="1"/>
      <sheetData sheetId="2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70.192348147492794</v>
          </cell>
        </row>
        <row r="53">
          <cell r="I53">
            <v>714045.70000000007</v>
          </cell>
        </row>
      </sheetData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obais 2012 MOD's"/>
      <sheetName val="Globais 07-12 MOD's"/>
      <sheetName val="Mensais 07-12 MOD's"/>
      <sheetName val="FimOcup.BB_2"/>
      <sheetName val="Regressão_1"/>
      <sheetName val="Regressão_2"/>
      <sheetName val="Regressão_3"/>
      <sheetName val="FimOcup._3"/>
      <sheetName val="Chillers_3"/>
      <sheetName val="FimOcup.Foyer_2"/>
      <sheetName val="Chillers_1"/>
      <sheetName val="Chillers_2"/>
      <sheetName val="Indicadores"/>
      <sheetName val="Folha1"/>
    </sheetNames>
    <sheetDataSet>
      <sheetData sheetId="0"/>
      <sheetData sheetId="1">
        <row r="6">
          <cell r="B6">
            <v>1387444.1318900527</v>
          </cell>
        </row>
        <row r="7">
          <cell r="B7">
            <v>1052213.7384569072</v>
          </cell>
        </row>
        <row r="8">
          <cell r="B8">
            <v>365528.10642345587</v>
          </cell>
        </row>
        <row r="12">
          <cell r="J12" t="str">
            <v>Ilum.&amp;Tom.</v>
          </cell>
        </row>
        <row r="13">
          <cell r="J13" t="str">
            <v>AC-Frio</v>
          </cell>
        </row>
        <row r="14">
          <cell r="J14" t="str">
            <v>AC-Quente</v>
          </cell>
        </row>
        <row r="44">
          <cell r="B44">
            <v>1431357.5854752176</v>
          </cell>
        </row>
        <row r="45">
          <cell r="B45">
            <v>811660.6953767112</v>
          </cell>
        </row>
        <row r="46">
          <cell r="B46">
            <v>268363.14297972346</v>
          </cell>
        </row>
        <row r="82">
          <cell r="B82">
            <v>1350866.6714460372</v>
          </cell>
        </row>
        <row r="83">
          <cell r="B83">
            <v>760672.38213513547</v>
          </cell>
        </row>
        <row r="84">
          <cell r="B84">
            <v>220287.20880763943</v>
          </cell>
        </row>
        <row r="120">
          <cell r="B120">
            <v>1317280.9891061243</v>
          </cell>
        </row>
        <row r="121">
          <cell r="B121">
            <v>741316.91364032903</v>
          </cell>
        </row>
        <row r="122">
          <cell r="B122">
            <v>228020.50745385903</v>
          </cell>
        </row>
        <row r="158">
          <cell r="B158">
            <v>1215998.8575416873</v>
          </cell>
        </row>
        <row r="159">
          <cell r="B159">
            <v>600869.6665653442</v>
          </cell>
        </row>
        <row r="160">
          <cell r="B160">
            <v>189186.92219189284</v>
          </cell>
        </row>
        <row r="196">
          <cell r="B196">
            <v>1168162.9398669477</v>
          </cell>
        </row>
        <row r="197">
          <cell r="B197">
            <v>476223.10999752261</v>
          </cell>
        </row>
        <row r="198">
          <cell r="B198">
            <v>181181.18840875968</v>
          </cell>
        </row>
        <row r="331">
          <cell r="A331">
            <v>2007</v>
          </cell>
        </row>
        <row r="332">
          <cell r="A332">
            <v>2008</v>
          </cell>
        </row>
        <row r="333">
          <cell r="A333">
            <v>2009</v>
          </cell>
        </row>
        <row r="334">
          <cell r="A334">
            <v>2010</v>
          </cell>
        </row>
        <row r="335">
          <cell r="A335">
            <v>2011</v>
          </cell>
        </row>
        <row r="336">
          <cell r="A336">
            <v>2012</v>
          </cell>
        </row>
      </sheetData>
      <sheetData sheetId="2">
        <row r="5">
          <cell r="D5">
            <v>123023.90638554505</v>
          </cell>
          <cell r="E5">
            <v>105803.47867990425</v>
          </cell>
          <cell r="F5">
            <v>121642.77483039761</v>
          </cell>
          <cell r="G5">
            <v>113520.48925761247</v>
          </cell>
          <cell r="H5">
            <v>116824.40921799744</v>
          </cell>
          <cell r="I5">
            <v>107549.18069356021</v>
          </cell>
          <cell r="J5">
            <v>110791.54941777157</v>
          </cell>
          <cell r="K5">
            <v>103463.65122517012</v>
          </cell>
          <cell r="L5">
            <v>116583.19367769077</v>
          </cell>
          <cell r="M5">
            <v>125332.34140434962</v>
          </cell>
          <cell r="N5">
            <v>120234.26267127556</v>
          </cell>
          <cell r="O5">
            <v>122674.89442877812</v>
          </cell>
        </row>
        <row r="6">
          <cell r="D6">
            <v>127222.89832659526</v>
          </cell>
          <cell r="E6">
            <v>117675.19048568539</v>
          </cell>
          <cell r="F6">
            <v>123286.89933177436</v>
          </cell>
          <cell r="G6">
            <v>120535.92820511451</v>
          </cell>
          <cell r="H6">
            <v>119032.74928106251</v>
          </cell>
          <cell r="I6">
            <v>118761.55746091536</v>
          </cell>
          <cell r="J6">
            <v>119380.4411876185</v>
          </cell>
          <cell r="K6">
            <v>105297.19488331745</v>
          </cell>
          <cell r="L6">
            <v>114891.09680831496</v>
          </cell>
          <cell r="M6">
            <v>123261.4185862935</v>
          </cell>
          <cell r="N6">
            <v>118338.15607373876</v>
          </cell>
          <cell r="O6">
            <v>123674.05484478688</v>
          </cell>
        </row>
        <row r="7">
          <cell r="D7">
            <v>127534.18285780319</v>
          </cell>
          <cell r="E7">
            <v>110075.21511869688</v>
          </cell>
          <cell r="F7">
            <v>120489.53730060629</v>
          </cell>
          <cell r="G7">
            <v>119592.839036554</v>
          </cell>
          <cell r="H7">
            <v>118119.07647772707</v>
          </cell>
          <cell r="I7">
            <v>109824.7225121947</v>
          </cell>
          <cell r="J7">
            <v>111411.34801694767</v>
          </cell>
          <cell r="K7">
            <v>95706.615719578607</v>
          </cell>
          <cell r="L7">
            <v>106529.92297373408</v>
          </cell>
          <cell r="M7">
            <v>109268.62644499465</v>
          </cell>
          <cell r="N7">
            <v>110544.94759604581</v>
          </cell>
          <cell r="O7">
            <v>111769.63739115441</v>
          </cell>
        </row>
        <row r="8">
          <cell r="D8">
            <v>114214.43025196025</v>
          </cell>
          <cell r="E8">
            <v>104887.44122405455</v>
          </cell>
          <cell r="F8">
            <v>120088.79361382684</v>
          </cell>
          <cell r="G8">
            <v>110481.76786959523</v>
          </cell>
          <cell r="H8">
            <v>114041.084766917</v>
          </cell>
          <cell r="I8">
            <v>103736.90507981859</v>
          </cell>
          <cell r="J8">
            <v>111515.93454484755</v>
          </cell>
          <cell r="K8">
            <v>92632.122581135161</v>
          </cell>
          <cell r="L8">
            <v>101550.18815111333</v>
          </cell>
          <cell r="M8">
            <v>109709.59246041346</v>
          </cell>
          <cell r="N8">
            <v>128813.46146805643</v>
          </cell>
          <cell r="O8">
            <v>105609.2670943858</v>
          </cell>
        </row>
        <row r="9">
          <cell r="D9">
            <v>107477.60549332235</v>
          </cell>
          <cell r="E9">
            <v>95716.268494025484</v>
          </cell>
          <cell r="F9">
            <v>104305.51243212511</v>
          </cell>
          <cell r="G9">
            <v>100194.20631868737</v>
          </cell>
          <cell r="H9">
            <v>104186.83860065979</v>
          </cell>
          <cell r="I9">
            <v>101061.09400405805</v>
          </cell>
          <cell r="J9">
            <v>98711.818538541949</v>
          </cell>
          <cell r="K9">
            <v>92419.752284148271</v>
          </cell>
          <cell r="L9">
            <v>99628.828707465742</v>
          </cell>
          <cell r="M9">
            <v>108287.06223028527</v>
          </cell>
          <cell r="N9">
            <v>102885.19718868876</v>
          </cell>
          <cell r="O9">
            <v>101124.67324967906</v>
          </cell>
        </row>
        <row r="10">
          <cell r="D10">
            <v>102084.16939617167</v>
          </cell>
          <cell r="E10">
            <v>95825.384622570142</v>
          </cell>
          <cell r="F10">
            <v>100668.95974131358</v>
          </cell>
          <cell r="G10">
            <v>99128.59580209585</v>
          </cell>
          <cell r="H10">
            <v>100930.7997317978</v>
          </cell>
          <cell r="I10">
            <v>93370.232719600055</v>
          </cell>
          <cell r="J10">
            <v>91202.074731917513</v>
          </cell>
          <cell r="K10">
            <v>73963.293922081488</v>
          </cell>
          <cell r="L10">
            <v>91480.52804874345</v>
          </cell>
          <cell r="M10">
            <v>101904.55278989873</v>
          </cell>
          <cell r="N10">
            <v>108065.54092847316</v>
          </cell>
          <cell r="O10">
            <v>109538.80743228427</v>
          </cell>
        </row>
        <row r="11">
          <cell r="D11">
            <v>94317.300621005721</v>
          </cell>
          <cell r="E11">
            <v>73482.562446293887</v>
          </cell>
          <cell r="F11">
            <v>94006.131547536352</v>
          </cell>
          <cell r="G11">
            <v>93333.091446967504</v>
          </cell>
          <cell r="H11">
            <v>100332.92347234921</v>
          </cell>
          <cell r="I11">
            <v>105282.03100649033</v>
          </cell>
          <cell r="J11">
            <v>100515.09688748872</v>
          </cell>
          <cell r="K11">
            <v>86619.330022286886</v>
          </cell>
          <cell r="L11">
            <v>89463.831886962987</v>
          </cell>
          <cell r="M11">
            <v>90847.199802981209</v>
          </cell>
          <cell r="N11">
            <v>65196.811537633665</v>
          </cell>
          <cell r="O11">
            <v>58817.427778910744</v>
          </cell>
        </row>
        <row r="12">
          <cell r="D12">
            <v>58587.459000702373</v>
          </cell>
          <cell r="E12">
            <v>55446.657933881652</v>
          </cell>
          <cell r="F12">
            <v>64216.748762515854</v>
          </cell>
          <cell r="G12">
            <v>58568.759790757074</v>
          </cell>
          <cell r="H12">
            <v>59806.546089831725</v>
          </cell>
          <cell r="I12">
            <v>82401.24196380745</v>
          </cell>
          <cell r="J12">
            <v>91654.549073220725</v>
          </cell>
          <cell r="K12">
            <v>81539.140201469214</v>
          </cell>
          <cell r="L12">
            <v>97235.627417584241</v>
          </cell>
          <cell r="M12">
            <v>61284.328760949531</v>
          </cell>
          <cell r="N12">
            <v>54674.780801369459</v>
          </cell>
          <cell r="O12">
            <v>46244.855580621806</v>
          </cell>
        </row>
        <row r="13">
          <cell r="D13">
            <v>43879.118642852292</v>
          </cell>
          <cell r="E13">
            <v>48861.969961270748</v>
          </cell>
          <cell r="F13">
            <v>54060.112197618299</v>
          </cell>
          <cell r="G13">
            <v>50943.917761671713</v>
          </cell>
          <cell r="H13">
            <v>61777.362598175809</v>
          </cell>
          <cell r="I13">
            <v>86045.005646365418</v>
          </cell>
          <cell r="J13">
            <v>82999.603238863332</v>
          </cell>
          <cell r="K13">
            <v>80152.733248874749</v>
          </cell>
          <cell r="L13">
            <v>78886.721991056969</v>
          </cell>
          <cell r="M13">
            <v>71243.499348577301</v>
          </cell>
          <cell r="N13">
            <v>53523.511490512908</v>
          </cell>
          <cell r="O13">
            <v>48298.826009296034</v>
          </cell>
        </row>
        <row r="14">
          <cell r="D14">
            <v>46103.852187250908</v>
          </cell>
          <cell r="E14">
            <v>47422.331667857397</v>
          </cell>
          <cell r="F14">
            <v>48263.084478557881</v>
          </cell>
          <cell r="G14">
            <v>47077.239749740555</v>
          </cell>
          <cell r="H14">
            <v>62175.568589239192</v>
          </cell>
          <cell r="I14">
            <v>69153.762718784099</v>
          </cell>
          <cell r="J14">
            <v>97725.494635613984</v>
          </cell>
          <cell r="K14">
            <v>92027.607485239612</v>
          </cell>
          <cell r="L14">
            <v>80601.691877872756</v>
          </cell>
          <cell r="M14">
            <v>53253.220526601617</v>
          </cell>
          <cell r="N14">
            <v>51031.801750725041</v>
          </cell>
          <cell r="O14">
            <v>46481.257972845931</v>
          </cell>
        </row>
        <row r="15">
          <cell r="D15">
            <v>50135.44123594604</v>
          </cell>
          <cell r="E15">
            <v>44441.653560590712</v>
          </cell>
          <cell r="F15">
            <v>48183.779142567357</v>
          </cell>
          <cell r="G15">
            <v>57962.17362606214</v>
          </cell>
          <cell r="H15">
            <v>68463.642870522206</v>
          </cell>
          <cell r="I15">
            <v>66053.565277038433</v>
          </cell>
          <cell r="J15">
            <v>67814.422192386279</v>
          </cell>
          <cell r="K15">
            <v>54112.113803559776</v>
          </cell>
          <cell r="L15">
            <v>58055.545705900127</v>
          </cell>
          <cell r="M15">
            <v>50327.385718332807</v>
          </cell>
          <cell r="N15">
            <v>17999.177000809123</v>
          </cell>
          <cell r="O15">
            <v>17651.447</v>
          </cell>
        </row>
        <row r="16">
          <cell r="D16">
            <v>21801.986999819092</v>
          </cell>
          <cell r="E16">
            <v>26951.720583988208</v>
          </cell>
          <cell r="F16">
            <v>31463.623331328385</v>
          </cell>
          <cell r="G16">
            <v>29082.744317511064</v>
          </cell>
          <cell r="H16">
            <v>47867.52780650444</v>
          </cell>
          <cell r="I16">
            <v>51345.16662380792</v>
          </cell>
          <cell r="J16">
            <v>61483.830801096221</v>
          </cell>
          <cell r="K16">
            <v>29082.744317511064</v>
          </cell>
          <cell r="L16">
            <v>63917.24802708489</v>
          </cell>
          <cell r="M16">
            <v>45099.959966654475</v>
          </cell>
          <cell r="N16">
            <v>44438.647517787555</v>
          </cell>
          <cell r="O16">
            <v>23687.909704429272</v>
          </cell>
        </row>
        <row r="17">
          <cell r="D17">
            <v>121069.48375741333</v>
          </cell>
          <cell r="E17">
            <v>77612.993710124487</v>
          </cell>
          <cell r="F17">
            <v>51826.352756285982</v>
          </cell>
          <cell r="G17">
            <v>18095.780205267787</v>
          </cell>
          <cell r="H17">
            <v>0</v>
          </cell>
          <cell r="I17">
            <v>0</v>
          </cell>
          <cell r="J17">
            <v>-0.32334187751985155</v>
          </cell>
          <cell r="K17">
            <v>0</v>
          </cell>
          <cell r="L17">
            <v>0</v>
          </cell>
          <cell r="M17">
            <v>0</v>
          </cell>
          <cell r="N17">
            <v>29584.781628168872</v>
          </cell>
          <cell r="O17">
            <v>67339.037708072952</v>
          </cell>
        </row>
        <row r="18">
          <cell r="D18">
            <v>68469.180849060242</v>
          </cell>
          <cell r="E18">
            <v>49124.850772400154</v>
          </cell>
          <cell r="F18">
            <v>47716.131265654083</v>
          </cell>
          <cell r="G18">
            <v>6882.6846395844332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43199.017041867977</v>
          </cell>
          <cell r="O18">
            <v>52971.2784111566</v>
          </cell>
        </row>
        <row r="19">
          <cell r="D19">
            <v>78620.211268184532</v>
          </cell>
          <cell r="E19">
            <v>64645.04741628316</v>
          </cell>
          <cell r="F19">
            <v>17138.781956008843</v>
          </cell>
          <cell r="G19">
            <v>2467.8223929698574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13383.536906178013</v>
          </cell>
          <cell r="O19">
            <v>44031.808868014996</v>
          </cell>
        </row>
        <row r="20">
          <cell r="D20">
            <v>49824.892435473521</v>
          </cell>
          <cell r="E20">
            <v>54631.411134325361</v>
          </cell>
          <cell r="F20">
            <v>40584.037593899557</v>
          </cell>
          <cell r="G20">
            <v>5089.8775870352556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23701.043420632664</v>
          </cell>
          <cell r="O20">
            <v>54189.245282492673</v>
          </cell>
        </row>
        <row r="21">
          <cell r="D21">
            <v>56541.984734993355</v>
          </cell>
          <cell r="E21">
            <v>46622.44708126974</v>
          </cell>
          <cell r="F21">
            <v>24132.230458290851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24673.6955061761</v>
          </cell>
          <cell r="O21">
            <v>37216.564411162777</v>
          </cell>
        </row>
        <row r="22">
          <cell r="D22">
            <v>42305.942468414003</v>
          </cell>
          <cell r="E22">
            <v>52677.02819739603</v>
          </cell>
          <cell r="F22">
            <v>13009.282015054469</v>
          </cell>
          <cell r="G22">
            <v>6876.6129671801809</v>
          </cell>
          <cell r="H22">
            <v>1803.5368802055968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2521.8596259020028</v>
          </cell>
          <cell r="N22">
            <v>24001</v>
          </cell>
          <cell r="O22">
            <v>37985.926254607424</v>
          </cell>
        </row>
      </sheetData>
      <sheetData sheetId="3"/>
      <sheetData sheetId="4">
        <row r="5">
          <cell r="L5">
            <v>0.12575640082800763</v>
          </cell>
          <cell r="M5">
            <v>2.7814828104929581</v>
          </cell>
          <cell r="R5">
            <v>0.45121425435195212</v>
          </cell>
          <cell r="S5">
            <v>9.9799666980437074</v>
          </cell>
        </row>
        <row r="6">
          <cell r="L6">
            <v>0.10776323191354295</v>
          </cell>
          <cell r="M6">
            <v>2.1670518872952278</v>
          </cell>
          <cell r="R6">
            <v>0.37674611972963729</v>
          </cell>
          <cell r="S6">
            <v>7.5761312582595366</v>
          </cell>
        </row>
        <row r="7">
          <cell r="L7">
            <v>0.12652490459774479</v>
          </cell>
          <cell r="M7">
            <v>2.7723062180405305</v>
          </cell>
          <cell r="R7">
            <v>0.36000079023676373</v>
          </cell>
          <cell r="S7">
            <v>7.8880314705305361</v>
          </cell>
        </row>
        <row r="8">
          <cell r="L8">
            <v>0.13195957141347803</v>
          </cell>
          <cell r="M8">
            <v>2.7524577972505089</v>
          </cell>
          <cell r="R8">
            <v>0.31804605199717478</v>
          </cell>
          <cell r="S8">
            <v>6.6339131472425548</v>
          </cell>
        </row>
        <row r="9">
          <cell r="L9">
            <v>0.13523836461959771</v>
          </cell>
          <cell r="M9">
            <v>2.9588877133607365</v>
          </cell>
          <cell r="R9">
            <v>0.29270553993465487</v>
          </cell>
          <cell r="S9">
            <v>6.4041208142483308</v>
          </cell>
        </row>
        <row r="10">
          <cell r="L10">
            <v>0.14684855796255228</v>
          </cell>
          <cell r="M10">
            <v>3.1048403375649629</v>
          </cell>
          <cell r="R10">
            <v>0.29685936174282573</v>
          </cell>
          <cell r="S10">
            <v>6.276540496624806</v>
          </cell>
        </row>
        <row r="11">
          <cell r="L11">
            <v>0.1377794695663295</v>
          </cell>
          <cell r="M11">
            <v>2.9642601341086059</v>
          </cell>
          <cell r="R11">
            <v>0.28964477969408609</v>
          </cell>
          <cell r="S11">
            <v>6.2315704669374732</v>
          </cell>
        </row>
        <row r="12">
          <cell r="L12">
            <v>0.12432248604165293</v>
          </cell>
          <cell r="M12">
            <v>2.5544643021701283</v>
          </cell>
          <cell r="R12">
            <v>0.27282119102990537</v>
          </cell>
          <cell r="S12">
            <v>5.6056793549634909</v>
          </cell>
        </row>
        <row r="13">
          <cell r="L13">
            <v>0.12712352903298746</v>
          </cell>
          <cell r="M13">
            <v>2.6383506410381607</v>
          </cell>
          <cell r="R13">
            <v>0.29278228401421708</v>
          </cell>
          <cell r="S13">
            <v>6.0764701278319544</v>
          </cell>
        </row>
        <row r="14">
          <cell r="L14">
            <v>0.12235090648585004</v>
          </cell>
          <cell r="M14">
            <v>2.6791471232705537</v>
          </cell>
          <cell r="R14">
            <v>0.29114560369249964</v>
          </cell>
          <cell r="S14">
            <v>6.3752850631788265</v>
          </cell>
        </row>
        <row r="15">
          <cell r="L15">
            <v>9.0245508215211837E-2</v>
          </cell>
          <cell r="M15">
            <v>1.9226993287219813</v>
          </cell>
          <cell r="R15">
            <v>0.29762521704217254</v>
          </cell>
          <cell r="S15">
            <v>6.3409671720510223</v>
          </cell>
        </row>
        <row r="16">
          <cell r="L16">
            <v>7.9995337407413089E-2</v>
          </cell>
          <cell r="M16">
            <v>1.734566863632391</v>
          </cell>
          <cell r="R16">
            <v>0.33842603027165985</v>
          </cell>
          <cell r="S16">
            <v>7.3382099122876472</v>
          </cell>
        </row>
        <row r="17">
          <cell r="L17">
            <v>7.9661178523565621E-2</v>
          </cell>
          <cell r="M17">
            <v>1.7277849243770791</v>
          </cell>
          <cell r="R17">
            <v>0.34574306568431007</v>
          </cell>
          <cell r="S17">
            <v>7.4988804794113024</v>
          </cell>
        </row>
        <row r="18">
          <cell r="L18">
            <v>7.9292655347009078E-2</v>
          </cell>
          <cell r="M18">
            <v>1.6351605159067402</v>
          </cell>
          <cell r="R18">
            <v>0.31782855049718878</v>
          </cell>
          <cell r="S18">
            <v>6.5542097729796573</v>
          </cell>
        </row>
        <row r="19">
          <cell r="L19">
            <v>8.7421203618288215E-2</v>
          </cell>
          <cell r="M19">
            <v>1.8937965956682843</v>
          </cell>
          <cell r="R19">
            <v>0.32021546750242086</v>
          </cell>
          <cell r="S19">
            <v>6.9367949323172109</v>
          </cell>
        </row>
        <row r="20">
          <cell r="L20">
            <v>8.1147870832295341E-2</v>
          </cell>
          <cell r="M20">
            <v>1.7272334716670228</v>
          </cell>
          <cell r="R20">
            <v>0.25768821714817597</v>
          </cell>
          <cell r="S20">
            <v>5.4848970077400114</v>
          </cell>
        </row>
        <row r="21">
          <cell r="L21">
            <v>8.0539520833996084E-2</v>
          </cell>
          <cell r="M21">
            <v>1.7637366507367285</v>
          </cell>
          <cell r="R21">
            <v>0.24083703368902981</v>
          </cell>
          <cell r="S21">
            <v>5.2740952363942979</v>
          </cell>
        </row>
        <row r="22">
          <cell r="L22">
            <v>0.11486848657586447</v>
          </cell>
          <cell r="M22">
            <v>2.4300699508628227</v>
          </cell>
          <cell r="R22">
            <v>0.28042376273201486</v>
          </cell>
          <cell r="S22">
            <v>5.932430901080032</v>
          </cell>
        </row>
        <row r="23">
          <cell r="L23">
            <v>0.12489461349143818</v>
          </cell>
          <cell r="M23">
            <v>2.7029564149111072</v>
          </cell>
          <cell r="R23">
            <v>0.28757038039367611</v>
          </cell>
          <cell r="S23">
            <v>6.2235686767772345</v>
          </cell>
        </row>
        <row r="24">
          <cell r="L24">
            <v>0.11651244898985644</v>
          </cell>
          <cell r="M24">
            <v>2.4046459701397627</v>
          </cell>
          <cell r="R24">
            <v>0.26697312367080478</v>
          </cell>
          <cell r="S24">
            <v>5.5099335009816466</v>
          </cell>
        </row>
        <row r="25">
          <cell r="L25">
            <v>0.13758543042529908</v>
          </cell>
          <cell r="M25">
            <v>2.8675462979617281</v>
          </cell>
          <cell r="R25">
            <v>0.30015280851729353</v>
          </cell>
          <cell r="S25">
            <v>6.255764670910354</v>
          </cell>
        </row>
        <row r="26">
          <cell r="L26">
            <v>8.3266072234396915E-2</v>
          </cell>
          <cell r="M26">
            <v>1.8073174897799855</v>
          </cell>
          <cell r="R26">
            <v>0.25073946047619589</v>
          </cell>
          <cell r="S26">
            <v>5.4423824750727832</v>
          </cell>
        </row>
        <row r="27">
          <cell r="L27">
            <v>7.5494160175527514E-2</v>
          </cell>
          <cell r="M27">
            <v>1.6123973222852181</v>
          </cell>
          <cell r="R27">
            <v>0.29854239270152011</v>
          </cell>
          <cell r="S27">
            <v>6.3762409365353214</v>
          </cell>
        </row>
        <row r="28">
          <cell r="L28">
            <v>6.3133042234590125E-2</v>
          </cell>
          <cell r="M28">
            <v>1.363792962948533</v>
          </cell>
          <cell r="R28">
            <v>0.30428759110215903</v>
          </cell>
          <cell r="S28">
            <v>6.5731867302652773</v>
          </cell>
        </row>
        <row r="29">
          <cell r="L29">
            <v>5.9715762832277391E-2</v>
          </cell>
          <cell r="M29">
            <v>1.294025734844799</v>
          </cell>
          <cell r="R29">
            <v>0.3402744268897806</v>
          </cell>
          <cell r="S29">
            <v>7.3736622362452451</v>
          </cell>
        </row>
        <row r="30">
          <cell r="L30">
            <v>7.2233321015930815E-2</v>
          </cell>
          <cell r="M30">
            <v>1.4409734867224262</v>
          </cell>
          <cell r="R30">
            <v>0.33052468384228345</v>
          </cell>
          <cell r="S30">
            <v>6.5935955792341501</v>
          </cell>
        </row>
        <row r="31">
          <cell r="L31">
            <v>7.3538526432486026E-2</v>
          </cell>
          <cell r="M31">
            <v>1.5942703175445545</v>
          </cell>
          <cell r="R31">
            <v>0.26075574411996821</v>
          </cell>
          <cell r="S31">
            <v>5.6530251984497752</v>
          </cell>
        </row>
        <row r="32">
          <cell r="L32">
            <v>7.0386129225947128E-2</v>
          </cell>
          <cell r="M32">
            <v>1.5023715757371705</v>
          </cell>
          <cell r="R32">
            <v>0.23902996084046177</v>
          </cell>
          <cell r="S32">
            <v>5.102025397127476</v>
          </cell>
        </row>
        <row r="33">
          <cell r="L33">
            <v>8.2789570960949216E-2</v>
          </cell>
          <cell r="M33">
            <v>1.8218574006362855</v>
          </cell>
          <cell r="R33">
            <v>0.24108424805005063</v>
          </cell>
          <cell r="S33">
            <v>5.3052711396945611</v>
          </cell>
        </row>
        <row r="34">
          <cell r="L34">
            <v>0.12011659405000324</v>
          </cell>
          <cell r="M34">
            <v>2.5375270767750573</v>
          </cell>
          <cell r="R34">
            <v>0.27342905549451907</v>
          </cell>
          <cell r="S34">
            <v>5.7763345471279042</v>
          </cell>
        </row>
        <row r="35">
          <cell r="L35">
            <v>0.11321373346285682</v>
          </cell>
          <cell r="M35">
            <v>2.4477160411354899</v>
          </cell>
          <cell r="R35">
            <v>0.26518186544089384</v>
          </cell>
          <cell r="S35">
            <v>5.7333142014158778</v>
          </cell>
        </row>
        <row r="36">
          <cell r="L36">
            <v>0.11499859574339608</v>
          </cell>
          <cell r="M36">
            <v>2.3637598646045221</v>
          </cell>
          <cell r="R36">
            <v>0.25231301990570487</v>
          </cell>
          <cell r="S36">
            <v>5.1862145438807792</v>
          </cell>
        </row>
        <row r="37">
          <cell r="L37">
            <v>0.11203250084579174</v>
          </cell>
          <cell r="M37">
            <v>2.3264243118657868</v>
          </cell>
          <cell r="R37">
            <v>0.26332302711471173</v>
          </cell>
          <cell r="S37">
            <v>5.4680658516851297</v>
          </cell>
        </row>
        <row r="38">
          <cell r="L38">
            <v>9.6752879898114749E-2</v>
          </cell>
          <cell r="M38">
            <v>2.10102035885981</v>
          </cell>
          <cell r="R38">
            <v>0.24514612823278753</v>
          </cell>
          <cell r="S38">
            <v>5.323428169322951</v>
          </cell>
        </row>
        <row r="39">
          <cell r="L39">
            <v>7.4829716927509018E-2</v>
          </cell>
          <cell r="M39">
            <v>1.5784455893866793</v>
          </cell>
          <cell r="R39">
            <v>0.24809064761589145</v>
          </cell>
          <cell r="S39">
            <v>5.2331828126083559</v>
          </cell>
        </row>
        <row r="40">
          <cell r="L40">
            <v>6.619465760398574E-2</v>
          </cell>
          <cell r="M40">
            <v>1.4243659798076036</v>
          </cell>
          <cell r="R40">
            <v>0.27972414147480545</v>
          </cell>
          <cell r="S40">
            <v>6.0190590187992994</v>
          </cell>
        </row>
        <row r="41">
          <cell r="L41">
            <v>6.3399415656464536E-2</v>
          </cell>
          <cell r="M41">
            <v>1.3596346747840073</v>
          </cell>
          <cell r="R41">
            <v>0.28897703465510943</v>
          </cell>
          <cell r="S41">
            <v>6.197268420616493</v>
          </cell>
        </row>
        <row r="42">
          <cell r="L42">
            <v>7.0744712857804745E-2</v>
          </cell>
          <cell r="M42">
            <v>1.3985175519141644</v>
          </cell>
          <cell r="R42">
            <v>0.3087152007819387</v>
          </cell>
          <cell r="S42">
            <v>6.1028394829171395</v>
          </cell>
        </row>
        <row r="43">
          <cell r="L43">
            <v>6.5325664684135379E-2</v>
          </cell>
          <cell r="M43">
            <v>1.4233119372012706</v>
          </cell>
          <cell r="R43">
            <v>0.28280160118358894</v>
          </cell>
          <cell r="S43">
            <v>6.1616655072778403</v>
          </cell>
        </row>
        <row r="44">
          <cell r="L44">
            <v>6.5639764845475443E-2</v>
          </cell>
          <cell r="M44">
            <v>1.3883405511734512</v>
          </cell>
          <cell r="R44">
            <v>0.2267812351378091</v>
          </cell>
          <cell r="S44">
            <v>4.7966287772087366</v>
          </cell>
        </row>
        <row r="45">
          <cell r="L45">
            <v>8.3393446601507298E-2</v>
          </cell>
          <cell r="M45">
            <v>1.8336007723388832</v>
          </cell>
          <cell r="R45">
            <v>0.23635190486213375</v>
          </cell>
          <cell r="S45">
            <v>5.1967516988456222</v>
          </cell>
        </row>
        <row r="46">
          <cell r="L46">
            <v>9.6827293756182251E-2</v>
          </cell>
          <cell r="M46">
            <v>2.0393925718477131</v>
          </cell>
          <cell r="R46">
            <v>0.24207700088155326</v>
          </cell>
          <cell r="S46">
            <v>5.0986660709134064</v>
          </cell>
        </row>
        <row r="47">
          <cell r="L47">
            <v>0.13278055773070241</v>
          </cell>
          <cell r="M47">
            <v>2.8819928230149512</v>
          </cell>
          <cell r="R47">
            <v>0.28429831714380449</v>
          </cell>
          <cell r="S47">
            <v>6.1706753127624383</v>
          </cell>
        </row>
        <row r="48">
          <cell r="L48">
            <v>0.13208048677903481</v>
          </cell>
          <cell r="M48">
            <v>2.7139581670128758</v>
          </cell>
          <cell r="R48">
            <v>0.26502858981272409</v>
          </cell>
          <cell r="S48">
            <v>5.4457439047561049</v>
          </cell>
        </row>
        <row r="49">
          <cell r="L49">
            <v>0.11396922567154216</v>
          </cell>
          <cell r="M49">
            <v>2.3769999669076869</v>
          </cell>
          <cell r="R49">
            <v>0.25755921790046526</v>
          </cell>
          <cell r="S49">
            <v>5.3717856624785778</v>
          </cell>
        </row>
        <row r="50">
          <cell r="L50">
            <v>7.2529354261657852E-2</v>
          </cell>
          <cell r="M50">
            <v>1.5704745208234279</v>
          </cell>
          <cell r="R50">
            <v>0.22195066284690271</v>
          </cell>
          <cell r="S50">
            <v>4.805886725854938</v>
          </cell>
        </row>
        <row r="51">
          <cell r="L51">
            <v>7.0998278391804615E-2</v>
          </cell>
          <cell r="M51">
            <v>1.5049633357139709</v>
          </cell>
          <cell r="R51">
            <v>0.28318493270137052</v>
          </cell>
          <cell r="S51">
            <v>6.0027221870127141</v>
          </cell>
        </row>
        <row r="52">
          <cell r="L52">
            <v>6.3756118560190325E-2</v>
          </cell>
          <cell r="M52">
            <v>1.3707646339569415</v>
          </cell>
          <cell r="R52">
            <v>0.28294409550337357</v>
          </cell>
          <cell r="S52">
            <v>6.0833339334608629</v>
          </cell>
        </row>
        <row r="53">
          <cell r="L53">
            <v>6.9010846226365746E-2</v>
          </cell>
          <cell r="M53">
            <v>1.4785290405481153</v>
          </cell>
          <cell r="R53">
            <v>0.29478188643897774</v>
          </cell>
          <cell r="S53">
            <v>6.3155808624336238</v>
          </cell>
        </row>
        <row r="54">
          <cell r="L54">
            <v>6.5833888437621321E-2</v>
          </cell>
          <cell r="M54">
            <v>1.310615280916297</v>
          </cell>
          <cell r="R54">
            <v>0.27668812924039637</v>
          </cell>
          <cell r="S54">
            <v>5.5082830262138653</v>
          </cell>
        </row>
        <row r="55">
          <cell r="L55">
            <v>6.5600368714546484E-2</v>
          </cell>
          <cell r="M55">
            <v>1.4209731676713366</v>
          </cell>
          <cell r="R55">
            <v>0.24046343343069593</v>
          </cell>
          <cell r="S55">
            <v>5.2086915577865263</v>
          </cell>
        </row>
        <row r="56">
          <cell r="L56">
            <v>8.1756343673602627E-2</v>
          </cell>
          <cell r="M56">
            <v>1.7093448236769631</v>
          </cell>
          <cell r="R56">
            <v>0.2230814778678665</v>
          </cell>
          <cell r="S56">
            <v>4.6641416716726987</v>
          </cell>
        </row>
        <row r="57">
          <cell r="L57">
            <v>9.276045334838097E-2</v>
          </cell>
          <cell r="M57">
            <v>2.0190404574160903</v>
          </cell>
          <cell r="R57">
            <v>0.23392177600556205</v>
          </cell>
          <cell r="S57">
            <v>5.0915828090236221</v>
          </cell>
        </row>
        <row r="58">
          <cell r="L58">
            <v>9.2506075279269143E-2</v>
          </cell>
          <cell r="M58">
            <v>1.9479655925281911</v>
          </cell>
          <cell r="R58">
            <v>0.23403916483370246</v>
          </cell>
          <cell r="S58">
            <v>4.9283275614467099</v>
          </cell>
        </row>
        <row r="59">
          <cell r="L59">
            <v>9.4147939920824639E-2</v>
          </cell>
          <cell r="M59">
            <v>1.9998944879644425</v>
          </cell>
          <cell r="R59">
            <v>0.23119127171943138</v>
          </cell>
          <cell r="S59">
            <v>4.910974689047988</v>
          </cell>
        </row>
        <row r="60">
          <cell r="L60">
            <v>7.7617203069223456E-2</v>
          </cell>
          <cell r="M60">
            <v>1.5958038810805324</v>
          </cell>
          <cell r="R60">
            <v>0.21018202407560896</v>
          </cell>
          <cell r="S60">
            <v>4.3213266710226792</v>
          </cell>
        </row>
        <row r="61">
          <cell r="L61">
            <v>8.2808377475848266E-2</v>
          </cell>
          <cell r="M61">
            <v>1.7120984312689884</v>
          </cell>
          <cell r="R61">
            <v>0.22491541574017038</v>
          </cell>
          <cell r="S61">
            <v>4.6502219001847847</v>
          </cell>
        </row>
        <row r="62">
          <cell r="L62">
            <v>6.8205000918616907E-2</v>
          </cell>
          <cell r="M62">
            <v>1.4841896168666964</v>
          </cell>
          <cell r="R62">
            <v>0.21495848460295877</v>
          </cell>
          <cell r="S62">
            <v>4.6776504157780554</v>
          </cell>
        </row>
        <row r="63">
          <cell r="L63">
            <v>2.5215761525333506E-2</v>
          </cell>
          <cell r="M63">
            <v>0.53080825152051436</v>
          </cell>
          <cell r="R63">
            <v>0.20391807766371733</v>
          </cell>
          <cell r="S63">
            <v>4.2926087379655549</v>
          </cell>
        </row>
        <row r="64">
          <cell r="L64">
            <v>2.4401121834283099E-2</v>
          </cell>
          <cell r="M64">
            <v>0.52055345188592994</v>
          </cell>
          <cell r="R64">
            <v>0.21564217957123322</v>
          </cell>
          <cell r="S64">
            <v>4.6003327924988007</v>
          </cell>
        </row>
        <row r="65">
          <cell r="L65">
            <v>2.9989225495422371E-2</v>
          </cell>
          <cell r="M65">
            <v>0.64295576395113663</v>
          </cell>
          <cell r="R65">
            <v>0.22860174755830825</v>
          </cell>
          <cell r="S65">
            <v>4.9011206129465554</v>
          </cell>
        </row>
        <row r="66">
          <cell r="L66">
            <v>3.8978789926828981E-2</v>
          </cell>
          <cell r="M66">
            <v>0.79482498994332507</v>
          </cell>
          <cell r="R66">
            <v>0.25374965529323396</v>
          </cell>
          <cell r="S66">
            <v>5.1742644549811079</v>
          </cell>
        </row>
        <row r="67">
          <cell r="L67">
            <v>4.3093463054457486E-2</v>
          </cell>
          <cell r="M67">
            <v>0.92788414082775617</v>
          </cell>
          <cell r="R67">
            <v>0.19879037881132769</v>
          </cell>
          <cell r="S67">
            <v>4.28033457452878</v>
          </cell>
        </row>
        <row r="68">
          <cell r="L68">
            <v>4.1080983796029084E-2</v>
          </cell>
          <cell r="M68">
            <v>0.85767036236724947</v>
          </cell>
          <cell r="R68">
            <v>0.19081920025186863</v>
          </cell>
          <cell r="S68">
            <v>3.9838377152610547</v>
          </cell>
        </row>
        <row r="69">
          <cell r="L69">
            <v>6.5476100681788774E-2</v>
          </cell>
          <cell r="M69">
            <v>1.411646695759369</v>
          </cell>
          <cell r="R69">
            <v>0.20600234207607002</v>
          </cell>
          <cell r="S69">
            <v>4.4413537532368341</v>
          </cell>
        </row>
        <row r="70">
          <cell r="L70">
            <v>7.2701007649839999E-2</v>
          </cell>
          <cell r="M70">
            <v>1.5142046838245871</v>
          </cell>
          <cell r="R70">
            <v>0.20490644098594388</v>
          </cell>
          <cell r="S70">
            <v>4.2677578030436747</v>
          </cell>
        </row>
        <row r="71">
          <cell r="L71">
            <v>8.5911684156871851E-2</v>
          </cell>
          <cell r="M71">
            <v>1.8132009437345902</v>
          </cell>
          <cell r="R71">
            <v>0.21334882879686107</v>
          </cell>
          <cell r="S71">
            <v>4.5028135755408227</v>
          </cell>
        </row>
        <row r="72">
          <cell r="L72">
            <v>4.3173589278745567E-2</v>
          </cell>
          <cell r="M72">
            <v>0.85767036236724947</v>
          </cell>
          <cell r="R72">
            <v>0.15297274848575287</v>
          </cell>
          <cell r="S72">
            <v>3.0388993553213766</v>
          </cell>
        </row>
        <row r="73">
          <cell r="L73">
            <v>9.0777155250793898E-2</v>
          </cell>
          <cell r="M73">
            <v>1.8849641106221029</v>
          </cell>
          <cell r="R73">
            <v>0.22070049133664091</v>
          </cell>
          <cell r="S73">
            <v>4.5827885244574702</v>
          </cell>
        </row>
        <row r="74">
          <cell r="L74">
            <v>6.1785760721283604E-2</v>
          </cell>
          <cell r="M74">
            <v>1.330029194805346</v>
          </cell>
          <cell r="R74">
            <v>0.20484720324307748</v>
          </cell>
          <cell r="S74">
            <v>4.4096367448894158</v>
          </cell>
        </row>
        <row r="75">
          <cell r="L75">
            <v>6.2312988763503788E-2</v>
          </cell>
          <cell r="M75">
            <v>1.3105266306227714</v>
          </cell>
          <cell r="R75">
            <v>0.24750001268489419</v>
          </cell>
          <cell r="S75">
            <v>5.2052607993824855</v>
          </cell>
        </row>
        <row r="76">
          <cell r="L76">
            <v>3.2895600445843838E-2</v>
          </cell>
          <cell r="M76">
            <v>0.69857293651919172</v>
          </cell>
          <cell r="R76">
            <v>0.23776444517704812</v>
          </cell>
          <cell r="S76">
            <v>5.0491799637654005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68.522715921836337</v>
          </cell>
        </row>
        <row r="53">
          <cell r="I53">
            <v>720296.4</v>
          </cell>
        </row>
      </sheetData>
      <sheetData sheetId="1"/>
      <sheetData sheetId="2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66.322339011719222</v>
          </cell>
        </row>
        <row r="53">
          <cell r="I53">
            <v>697166.5</v>
          </cell>
        </row>
      </sheetData>
      <sheetData sheetId="1"/>
      <sheetData sheetId="2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68.918084677617543</v>
          </cell>
        </row>
        <row r="53">
          <cell r="I53">
            <v>701083</v>
          </cell>
        </row>
      </sheetData>
      <sheetData sheetId="1"/>
      <sheetData sheetId="2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70.195856271862354</v>
          </cell>
        </row>
        <row r="53">
          <cell r="I53">
            <v>737884.1</v>
          </cell>
        </row>
      </sheetData>
      <sheetData sheetId="1"/>
      <sheetData sheetId="2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70.168844063031443</v>
          </cell>
        </row>
        <row r="53">
          <cell r="I53">
            <v>713806.6</v>
          </cell>
        </row>
      </sheetData>
      <sheetData sheetId="1"/>
      <sheetData sheetId="2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68.816700105310318</v>
          </cell>
        </row>
        <row r="53">
          <cell r="I53">
            <v>723386.70000000007</v>
          </cell>
        </row>
      </sheetData>
      <sheetData sheetId="1"/>
      <sheetData sheetId="2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69.159867158685628</v>
          </cell>
        </row>
        <row r="53">
          <cell r="I53">
            <v>726994</v>
          </cell>
        </row>
      </sheetData>
      <sheetData sheetId="1"/>
      <sheetData sheetId="2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70.314543692499498</v>
          </cell>
        </row>
        <row r="53">
          <cell r="I53">
            <v>691445.8</v>
          </cell>
        </row>
      </sheetData>
      <sheetData sheetId="1"/>
      <sheetData sheetId="2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69.457742211364575</v>
          </cell>
        </row>
        <row r="53">
          <cell r="I53">
            <v>730125.20000000007</v>
          </cell>
        </row>
      </sheetData>
      <sheetData sheetId="1"/>
      <sheetData sheetId="2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69.591838941480631</v>
          </cell>
        </row>
        <row r="53">
          <cell r="I53">
            <v>707936.9</v>
          </cell>
        </row>
      </sheetData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681889</v>
          </cell>
        </row>
        <row r="56">
          <cell r="I56">
            <v>33909</v>
          </cell>
        </row>
      </sheetData>
      <sheetData sheetId="1"/>
      <sheetData sheetId="2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69.547498570652579</v>
          </cell>
        </row>
        <row r="53">
          <cell r="I53">
            <v>731068.70000000007</v>
          </cell>
        </row>
      </sheetData>
      <sheetData sheetId="1"/>
      <sheetData sheetId="2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69.426120892191861</v>
          </cell>
        </row>
        <row r="53">
          <cell r="I53">
            <v>706251.10000000009</v>
          </cell>
        </row>
      </sheetData>
      <sheetData sheetId="1"/>
      <sheetData sheetId="2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68.081953691997271</v>
          </cell>
        </row>
        <row r="53">
          <cell r="I53">
            <v>715663.20000000007</v>
          </cell>
        </row>
      </sheetData>
      <sheetData sheetId="1"/>
      <sheetData sheetId="2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64.082663371319256</v>
          </cell>
        </row>
        <row r="53">
          <cell r="I53">
            <v>673623.5</v>
          </cell>
        </row>
      </sheetData>
      <sheetData sheetId="1"/>
      <sheetData sheetId="2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69.215803080794672</v>
          </cell>
        </row>
        <row r="53">
          <cell r="I53">
            <v>704111.6</v>
          </cell>
        </row>
      </sheetData>
      <sheetData sheetId="1"/>
      <sheetData sheetId="2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69.440219030250788</v>
          </cell>
        </row>
        <row r="53">
          <cell r="I53">
            <v>729941</v>
          </cell>
        </row>
      </sheetData>
      <sheetData sheetId="1"/>
      <sheetData sheetId="2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70.10451895760221</v>
          </cell>
        </row>
        <row r="53">
          <cell r="I53">
            <v>713152.24</v>
          </cell>
        </row>
      </sheetData>
      <sheetData sheetId="1"/>
      <sheetData sheetId="2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">
          <cell r="AJ4">
            <v>253</v>
          </cell>
        </row>
        <row r="49">
          <cell r="I49">
            <v>68.503418542417606</v>
          </cell>
        </row>
        <row r="53">
          <cell r="I53">
            <v>720093.55</v>
          </cell>
        </row>
      </sheetData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742985.20000000007</v>
          </cell>
        </row>
      </sheetData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707285.5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W69"/>
  <sheetViews>
    <sheetView zoomScaleNormal="100" workbookViewId="0">
      <selection activeCell="F13" sqref="F13"/>
    </sheetView>
  </sheetViews>
  <sheetFormatPr defaultRowHeight="15" x14ac:dyDescent="0.25"/>
  <cols>
    <col min="1" max="1" width="9.140625" style="1"/>
    <col min="2" max="2" width="10.5703125" style="1" bestFit="1" customWidth="1"/>
    <col min="3" max="3" width="12.42578125" style="1" bestFit="1" customWidth="1"/>
    <col min="4" max="16" width="9.140625" style="1"/>
    <col min="17" max="17" width="11.5703125" style="1" bestFit="1" customWidth="1"/>
    <col min="18" max="18" width="10.5703125" style="1" bestFit="1" customWidth="1"/>
    <col min="19" max="16384" width="9.140625" style="1"/>
  </cols>
  <sheetData>
    <row r="2" spans="1:23" ht="15.75" thickBot="1" x14ac:dyDescent="0.3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3" ht="15.75" thickBot="1" x14ac:dyDescent="0.3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40"/>
      <c r="P3" s="37"/>
    </row>
    <row r="4" spans="1:23" ht="15.75" thickBot="1" x14ac:dyDescent="0.3">
      <c r="A4" s="41" t="s">
        <v>1</v>
      </c>
      <c r="B4" s="41" t="s">
        <v>2</v>
      </c>
      <c r="C4" s="41" t="s">
        <v>3</v>
      </c>
      <c r="D4" s="42" t="s">
        <v>4</v>
      </c>
      <c r="E4" s="42" t="s">
        <v>5</v>
      </c>
      <c r="F4" s="42" t="s">
        <v>6</v>
      </c>
      <c r="G4" s="43" t="s">
        <v>7</v>
      </c>
      <c r="H4" s="43" t="s">
        <v>8</v>
      </c>
      <c r="I4" s="43" t="s">
        <v>9</v>
      </c>
      <c r="J4" s="43" t="s">
        <v>10</v>
      </c>
      <c r="K4" s="43" t="s">
        <v>11</v>
      </c>
      <c r="L4" s="43" t="s">
        <v>12</v>
      </c>
      <c r="M4" s="43" t="s">
        <v>13</v>
      </c>
      <c r="N4" s="43" t="s">
        <v>14</v>
      </c>
      <c r="O4" s="44" t="s">
        <v>15</v>
      </c>
      <c r="P4" s="37"/>
      <c r="S4" s="45"/>
    </row>
    <row r="5" spans="1:23" x14ac:dyDescent="0.25">
      <c r="A5" s="46" t="s">
        <v>16</v>
      </c>
      <c r="B5" s="46" t="s">
        <v>17</v>
      </c>
      <c r="C5" s="47" t="s">
        <v>18</v>
      </c>
      <c r="D5" s="48">
        <f>[1]Tabelas_Consumos!B6</f>
        <v>123023.90638554505</v>
      </c>
      <c r="E5" s="49">
        <f>[1]Tabelas_Consumos!C6</f>
        <v>105803.47867990425</v>
      </c>
      <c r="F5" s="49">
        <f>[1]Tabelas_Consumos!D6</f>
        <v>121642.77483039761</v>
      </c>
      <c r="G5" s="49">
        <f>[1]Tabelas_Consumos!E6</f>
        <v>113520.48925761247</v>
      </c>
      <c r="H5" s="49">
        <f>[1]Tabelas_Consumos!F6</f>
        <v>116824.40921799744</v>
      </c>
      <c r="I5" s="49">
        <f>[1]Tabelas_Consumos!G6</f>
        <v>107549.18069356021</v>
      </c>
      <c r="J5" s="49">
        <f>[1]Tabelas_Consumos!H6</f>
        <v>110791.54941777157</v>
      </c>
      <c r="K5" s="49">
        <f>[1]Tabelas_Consumos!I6</f>
        <v>103463.65122517012</v>
      </c>
      <c r="L5" s="49">
        <f>[1]Tabelas_Consumos!J6</f>
        <v>116583.19367769077</v>
      </c>
      <c r="M5" s="49">
        <f>[1]Tabelas_Consumos!K6</f>
        <v>125332.34140434962</v>
      </c>
      <c r="N5" s="49">
        <f>[1]Tabelas_Consumos!L6</f>
        <v>120234.26267127556</v>
      </c>
      <c r="O5" s="50">
        <f>[1]Tabelas_Consumos!M6</f>
        <v>122674.89442877812</v>
      </c>
      <c r="P5" s="37"/>
      <c r="S5" s="45"/>
    </row>
    <row r="6" spans="1:23" x14ac:dyDescent="0.25">
      <c r="A6" s="51"/>
      <c r="B6" s="51"/>
      <c r="C6" s="52" t="s">
        <v>19</v>
      </c>
      <c r="D6" s="53">
        <f>[1]Tabelas_Consumos!B7</f>
        <v>127222.89832659526</v>
      </c>
      <c r="E6" s="54">
        <f>[1]Tabelas_Consumos!C7</f>
        <v>117675.19048568539</v>
      </c>
      <c r="F6" s="54">
        <f>[1]Tabelas_Consumos!D7</f>
        <v>123286.89933177436</v>
      </c>
      <c r="G6" s="54">
        <f>[1]Tabelas_Consumos!E7</f>
        <v>120535.92820511451</v>
      </c>
      <c r="H6" s="54">
        <f>[1]Tabelas_Consumos!F7</f>
        <v>119032.74928106251</v>
      </c>
      <c r="I6" s="54">
        <f>[1]Tabelas_Consumos!G7</f>
        <v>118761.55746091536</v>
      </c>
      <c r="J6" s="54">
        <f>[1]Tabelas_Consumos!H7</f>
        <v>119380.4411876185</v>
      </c>
      <c r="K6" s="54">
        <f>[1]Tabelas_Consumos!I7</f>
        <v>105297.19488331745</v>
      </c>
      <c r="L6" s="54">
        <f>[1]Tabelas_Consumos!J7</f>
        <v>114891.09680831496</v>
      </c>
      <c r="M6" s="54">
        <f>[1]Tabelas_Consumos!K7</f>
        <v>123261.4185862935</v>
      </c>
      <c r="N6" s="54">
        <f>[1]Tabelas_Consumos!L7</f>
        <v>118338.15607373876</v>
      </c>
      <c r="O6" s="55">
        <f>[1]Tabelas_Consumos!M7</f>
        <v>123674.05484478688</v>
      </c>
      <c r="P6" s="37"/>
    </row>
    <row r="7" spans="1:23" x14ac:dyDescent="0.25">
      <c r="A7" s="51"/>
      <c r="B7" s="51"/>
      <c r="C7" s="52" t="s">
        <v>20</v>
      </c>
      <c r="D7" s="53">
        <f>[2]Tabelas_Consumos!B6</f>
        <v>127534.18285780319</v>
      </c>
      <c r="E7" s="54">
        <f>[2]Tabelas_Consumos!C6</f>
        <v>110075.21511869688</v>
      </c>
      <c r="F7" s="54">
        <f>[2]Tabelas_Consumos!D6</f>
        <v>120489.53730060629</v>
      </c>
      <c r="G7" s="54">
        <f>[2]Tabelas_Consumos!E6</f>
        <v>119592.839036554</v>
      </c>
      <c r="H7" s="54">
        <f>[2]Tabelas_Consumos!F6</f>
        <v>118119.07647772707</v>
      </c>
      <c r="I7" s="54">
        <f>[2]Tabelas_Consumos!G6</f>
        <v>109824.7225121947</v>
      </c>
      <c r="J7" s="54">
        <f>[2]Tabelas_Consumos!H6</f>
        <v>111411.34801694767</v>
      </c>
      <c r="K7" s="54">
        <f>[2]Tabelas_Consumos!I6</f>
        <v>95706.615719578607</v>
      </c>
      <c r="L7" s="54">
        <f>[2]Tabelas_Consumos!J6</f>
        <v>106529.92297373408</v>
      </c>
      <c r="M7" s="54">
        <f>[2]Tabelas_Consumos!K6</f>
        <v>109268.62644499465</v>
      </c>
      <c r="N7" s="54">
        <f>[2]Tabelas_Consumos!L6</f>
        <v>110544.94759604581</v>
      </c>
      <c r="O7" s="55">
        <f>[2]Tabelas_Consumos!M6</f>
        <v>111769.63739115441</v>
      </c>
      <c r="P7" s="37"/>
    </row>
    <row r="8" spans="1:23" x14ac:dyDescent="0.25">
      <c r="A8" s="51"/>
      <c r="B8" s="51"/>
      <c r="C8" s="52">
        <v>10</v>
      </c>
      <c r="D8" s="53">
        <f>[2]Tabelas_Consumos!B7</f>
        <v>114214.43025196025</v>
      </c>
      <c r="E8" s="54">
        <f>[2]Tabelas_Consumos!C7</f>
        <v>104887.44122405455</v>
      </c>
      <c r="F8" s="54">
        <f>[2]Tabelas_Consumos!D7</f>
        <v>120088.79361382684</v>
      </c>
      <c r="G8" s="54">
        <f>[2]Tabelas_Consumos!E7</f>
        <v>110481.76786959523</v>
      </c>
      <c r="H8" s="54">
        <f>[2]Tabelas_Consumos!F7</f>
        <v>114041.084766917</v>
      </c>
      <c r="I8" s="54">
        <f>[2]Tabelas_Consumos!G7</f>
        <v>103736.90507981859</v>
      </c>
      <c r="J8" s="54">
        <f>[2]Tabelas_Consumos!H7</f>
        <v>111515.93454484755</v>
      </c>
      <c r="K8" s="54">
        <f>[2]Tabelas_Consumos!I7</f>
        <v>92632.122581135161</v>
      </c>
      <c r="L8" s="54">
        <f>[2]Tabelas_Consumos!J7</f>
        <v>101550.18815111333</v>
      </c>
      <c r="M8" s="54">
        <f>[2]Tabelas_Consumos!K7</f>
        <v>109709.59246041346</v>
      </c>
      <c r="N8" s="54">
        <f>[2]Tabelas_Consumos!L7</f>
        <v>128813.46146805643</v>
      </c>
      <c r="O8" s="55">
        <f>[2]Tabelas_Consumos!M7</f>
        <v>105609.2670943858</v>
      </c>
      <c r="P8" s="37"/>
    </row>
    <row r="9" spans="1:23" x14ac:dyDescent="0.25">
      <c r="A9" s="51"/>
      <c r="B9" s="51"/>
      <c r="C9" s="52">
        <v>11</v>
      </c>
      <c r="D9" s="53">
        <f>[3]Tabelas_Consumos!B6</f>
        <v>107477.60549332235</v>
      </c>
      <c r="E9" s="54">
        <f>[3]Tabelas_Consumos!C6</f>
        <v>95716.268494025484</v>
      </c>
      <c r="F9" s="54">
        <f>[3]Tabelas_Consumos!D6</f>
        <v>104305.51243212511</v>
      </c>
      <c r="G9" s="54">
        <f>[3]Tabelas_Consumos!E6</f>
        <v>100194.20631868737</v>
      </c>
      <c r="H9" s="54">
        <f>[3]Tabelas_Consumos!F6</f>
        <v>104186.83860065979</v>
      </c>
      <c r="I9" s="54">
        <f>[3]Tabelas_Consumos!G6</f>
        <v>101061.09400405805</v>
      </c>
      <c r="J9" s="54">
        <f>[3]Tabelas_Consumos!H6</f>
        <v>98711.818538541949</v>
      </c>
      <c r="K9" s="54">
        <f>[3]Tabelas_Consumos!I6</f>
        <v>92419.752284148271</v>
      </c>
      <c r="L9" s="54">
        <f>[3]Tabelas_Consumos!J6</f>
        <v>99628.828707465742</v>
      </c>
      <c r="M9" s="54">
        <f>[3]Tabelas_Consumos!K6</f>
        <v>108287.06223028527</v>
      </c>
      <c r="N9" s="54">
        <f>[3]Tabelas_Consumos!L6</f>
        <v>102885.19718868876</v>
      </c>
      <c r="O9" s="55">
        <f>[3]Tabelas_Consumos!M6</f>
        <v>101124.67324967906</v>
      </c>
      <c r="P9" s="37"/>
    </row>
    <row r="10" spans="1:23" ht="15.75" thickBot="1" x14ac:dyDescent="0.3">
      <c r="A10" s="51"/>
      <c r="B10" s="56"/>
      <c r="C10" s="57">
        <v>12</v>
      </c>
      <c r="D10" s="58">
        <f>[3]Tabelas_Consumos!B7</f>
        <v>102084.16939617167</v>
      </c>
      <c r="E10" s="59">
        <f>[3]Tabelas_Consumos!C7</f>
        <v>95825.384622570142</v>
      </c>
      <c r="F10" s="59">
        <f>[3]Tabelas_Consumos!D7</f>
        <v>100668.95974131358</v>
      </c>
      <c r="G10" s="59">
        <f>[3]Tabelas_Consumos!E7</f>
        <v>99128.59580209585</v>
      </c>
      <c r="H10" s="59">
        <f>[3]Tabelas_Consumos!F7</f>
        <v>100930.7997317978</v>
      </c>
      <c r="I10" s="59">
        <f>[3]Tabelas_Consumos!G7</f>
        <v>93370.232719600055</v>
      </c>
      <c r="J10" s="59">
        <f>[3]Tabelas_Consumos!H7</f>
        <v>91202.074731917513</v>
      </c>
      <c r="K10" s="59">
        <f>[3]Tabelas_Consumos!I7</f>
        <v>73963.293922081488</v>
      </c>
      <c r="L10" s="59">
        <f>[3]Tabelas_Consumos!J7</f>
        <v>91480.52804874345</v>
      </c>
      <c r="M10" s="59">
        <f>[3]Tabelas_Consumos!K7</f>
        <v>101904.55278989873</v>
      </c>
      <c r="N10" s="59">
        <f>[3]Tabelas_Consumos!L7</f>
        <v>108065.54092847316</v>
      </c>
      <c r="O10" s="60">
        <f>[3]Tabelas_Consumos!M7</f>
        <v>109538.80743228427</v>
      </c>
      <c r="P10" s="37"/>
      <c r="Q10" s="61"/>
      <c r="R10" s="61"/>
      <c r="S10" s="61"/>
      <c r="T10" s="61"/>
      <c r="U10" s="61"/>
      <c r="V10" s="61"/>
      <c r="W10" s="61"/>
    </row>
    <row r="11" spans="1:23" x14ac:dyDescent="0.25">
      <c r="A11" s="51"/>
      <c r="B11" s="46" t="s">
        <v>21</v>
      </c>
      <c r="C11" s="47" t="s">
        <v>18</v>
      </c>
      <c r="D11" s="48">
        <f>[1]Tabelas_Consumos!B21</f>
        <v>94317.300621005721</v>
      </c>
      <c r="E11" s="49">
        <f>[1]Tabelas_Consumos!C21</f>
        <v>73482.562446293887</v>
      </c>
      <c r="F11" s="49">
        <f>[1]Tabelas_Consumos!D21</f>
        <v>94006.131547536352</v>
      </c>
      <c r="G11" s="49">
        <f>[1]Tabelas_Consumos!E21</f>
        <v>93333.091446967504</v>
      </c>
      <c r="H11" s="49">
        <f>[1]Tabelas_Consumos!F21</f>
        <v>100332.92347234921</v>
      </c>
      <c r="I11" s="49">
        <f>[1]Tabelas_Consumos!G21</f>
        <v>105282.03100649033</v>
      </c>
      <c r="J11" s="49">
        <f>[1]Tabelas_Consumos!H21</f>
        <v>100515.09688748872</v>
      </c>
      <c r="K11" s="49">
        <f>[1]Tabelas_Consumos!I21</f>
        <v>86619.330022286886</v>
      </c>
      <c r="L11" s="49">
        <f>[1]Tabelas_Consumos!J21</f>
        <v>89463.831886962987</v>
      </c>
      <c r="M11" s="49">
        <f>[1]Tabelas_Consumos!K21</f>
        <v>90847.199802981209</v>
      </c>
      <c r="N11" s="49">
        <f>[1]Tabelas_Consumos!L21</f>
        <v>65196.811537633665</v>
      </c>
      <c r="O11" s="50">
        <f>[1]Tabelas_Consumos!M21</f>
        <v>58817.427778910744</v>
      </c>
      <c r="P11" s="62"/>
      <c r="Q11" s="63"/>
      <c r="R11" s="64"/>
      <c r="S11" s="61"/>
      <c r="T11" s="61"/>
      <c r="U11" s="61"/>
      <c r="V11" s="61"/>
      <c r="W11" s="61"/>
    </row>
    <row r="12" spans="1:23" x14ac:dyDescent="0.25">
      <c r="A12" s="51"/>
      <c r="B12" s="51"/>
      <c r="C12" s="52" t="s">
        <v>19</v>
      </c>
      <c r="D12" s="53">
        <f>[1]Tabelas_Consumos!B22</f>
        <v>58587.459000702373</v>
      </c>
      <c r="E12" s="54">
        <f>[1]Tabelas_Consumos!C22</f>
        <v>55446.657933881652</v>
      </c>
      <c r="F12" s="54">
        <f>[1]Tabelas_Consumos!D22</f>
        <v>64216.748762515854</v>
      </c>
      <c r="G12" s="54">
        <f>[1]Tabelas_Consumos!E22</f>
        <v>58568.759790757074</v>
      </c>
      <c r="H12" s="54">
        <f>[1]Tabelas_Consumos!F22</f>
        <v>59806.546089831725</v>
      </c>
      <c r="I12" s="54">
        <f>[1]Tabelas_Consumos!G22</f>
        <v>82401.24196380745</v>
      </c>
      <c r="J12" s="54">
        <f>[1]Tabelas_Consumos!H22</f>
        <v>91654.549073220725</v>
      </c>
      <c r="K12" s="54">
        <f>[1]Tabelas_Consumos!I22</f>
        <v>81539.140201469214</v>
      </c>
      <c r="L12" s="54">
        <f>[1]Tabelas_Consumos!J22</f>
        <v>97235.627417584241</v>
      </c>
      <c r="M12" s="54">
        <f>[1]Tabelas_Consumos!K22</f>
        <v>61284.328760949531</v>
      </c>
      <c r="N12" s="54">
        <f>[1]Tabelas_Consumos!L22</f>
        <v>54674.780801369459</v>
      </c>
      <c r="O12" s="55">
        <f>[1]Tabelas_Consumos!M22</f>
        <v>46244.855580621806</v>
      </c>
      <c r="P12" s="65"/>
      <c r="Q12" s="63"/>
      <c r="R12" s="66"/>
      <c r="S12" s="61"/>
      <c r="T12" s="61"/>
      <c r="U12" s="61"/>
      <c r="V12" s="61"/>
      <c r="W12" s="61"/>
    </row>
    <row r="13" spans="1:23" x14ac:dyDescent="0.25">
      <c r="A13" s="51"/>
      <c r="B13" s="51"/>
      <c r="C13" s="52" t="s">
        <v>20</v>
      </c>
      <c r="D13" s="53">
        <f>[2]Tabelas_Consumos!B21</f>
        <v>43879.118642852292</v>
      </c>
      <c r="E13" s="54">
        <f>[2]Tabelas_Consumos!C21</f>
        <v>48861.969961270748</v>
      </c>
      <c r="F13" s="54">
        <f>[2]Tabelas_Consumos!D21</f>
        <v>54060.112197618299</v>
      </c>
      <c r="G13" s="54">
        <f>[2]Tabelas_Consumos!E21</f>
        <v>50943.917761671713</v>
      </c>
      <c r="H13" s="54">
        <f>[2]Tabelas_Consumos!F21</f>
        <v>61777.362598175809</v>
      </c>
      <c r="I13" s="54">
        <f>[2]Tabelas_Consumos!G21</f>
        <v>86045.005646365418</v>
      </c>
      <c r="J13" s="54">
        <f>[2]Tabelas_Consumos!H21</f>
        <v>82999.603238863332</v>
      </c>
      <c r="K13" s="54">
        <f>[2]Tabelas_Consumos!I21</f>
        <v>80152.733248874749</v>
      </c>
      <c r="L13" s="54">
        <f>[2]Tabelas_Consumos!J21</f>
        <v>78886.721991056969</v>
      </c>
      <c r="M13" s="54">
        <f>[2]Tabelas_Consumos!K21</f>
        <v>71243.499348577301</v>
      </c>
      <c r="N13" s="54">
        <f>[2]Tabelas_Consumos!L21</f>
        <v>53523.511490512908</v>
      </c>
      <c r="O13" s="55">
        <f>[2]Tabelas_Consumos!M21</f>
        <v>48298.826009296034</v>
      </c>
      <c r="P13" s="65"/>
      <c r="Q13" s="67"/>
      <c r="R13" s="68"/>
      <c r="S13" s="69"/>
      <c r="T13" s="61"/>
      <c r="U13" s="61"/>
      <c r="V13" s="61"/>
      <c r="W13" s="45"/>
    </row>
    <row r="14" spans="1:23" x14ac:dyDescent="0.25">
      <c r="A14" s="51"/>
      <c r="B14" s="51"/>
      <c r="C14" s="52">
        <v>10</v>
      </c>
      <c r="D14" s="53">
        <f>[2]Tabelas_Consumos!B22</f>
        <v>46103.852187250908</v>
      </c>
      <c r="E14" s="54">
        <f>[2]Tabelas_Consumos!C22</f>
        <v>47422.331667857397</v>
      </c>
      <c r="F14" s="54">
        <f>[2]Tabelas_Consumos!D22</f>
        <v>48263.084478557881</v>
      </c>
      <c r="G14" s="54">
        <f>[2]Tabelas_Consumos!E22</f>
        <v>47077.239749740555</v>
      </c>
      <c r="H14" s="54">
        <f>[2]Tabelas_Consumos!F22</f>
        <v>62175.568589239192</v>
      </c>
      <c r="I14" s="54">
        <f>[2]Tabelas_Consumos!G22</f>
        <v>69153.762718784099</v>
      </c>
      <c r="J14" s="54">
        <f>[2]Tabelas_Consumos!H22</f>
        <v>97725.494635613984</v>
      </c>
      <c r="K14" s="54">
        <f>[2]Tabelas_Consumos!I22</f>
        <v>92027.607485239612</v>
      </c>
      <c r="L14" s="54">
        <f>[2]Tabelas_Consumos!J22</f>
        <v>80601.691877872756</v>
      </c>
      <c r="M14" s="54">
        <f>[2]Tabelas_Consumos!K22</f>
        <v>53253.220526601617</v>
      </c>
      <c r="N14" s="54">
        <f>[2]Tabelas_Consumos!L22</f>
        <v>51031.801750725041</v>
      </c>
      <c r="O14" s="55">
        <f>[2]Tabelas_Consumos!M22</f>
        <v>46481.257972845931</v>
      </c>
      <c r="P14" s="65"/>
      <c r="Q14" s="67"/>
      <c r="R14" s="66"/>
      <c r="S14" s="61"/>
      <c r="T14" s="61"/>
      <c r="U14" s="61"/>
      <c r="V14" s="61"/>
      <c r="W14" s="61"/>
    </row>
    <row r="15" spans="1:23" x14ac:dyDescent="0.25">
      <c r="A15" s="51"/>
      <c r="B15" s="51"/>
      <c r="C15" s="52">
        <v>11</v>
      </c>
      <c r="D15" s="53">
        <f>[3]Tabelas_Consumos!B21</f>
        <v>50135.44123594604</v>
      </c>
      <c r="E15" s="54">
        <f>[3]Tabelas_Consumos!C21</f>
        <v>44441.653560590712</v>
      </c>
      <c r="F15" s="54">
        <f>[3]Tabelas_Consumos!D21</f>
        <v>48183.779142567357</v>
      </c>
      <c r="G15" s="54">
        <f>[3]Tabelas_Consumos!E21</f>
        <v>57962.17362606214</v>
      </c>
      <c r="H15" s="54">
        <f>[3]Tabelas_Consumos!F21</f>
        <v>68463.642870522206</v>
      </c>
      <c r="I15" s="54">
        <f>[3]Tabelas_Consumos!G21</f>
        <v>66053.565277038433</v>
      </c>
      <c r="J15" s="54">
        <f>[3]Tabelas_Consumos!H21</f>
        <v>67814.422192386279</v>
      </c>
      <c r="K15" s="54">
        <f>[3]Tabelas_Consumos!I21</f>
        <v>54112.113803559776</v>
      </c>
      <c r="L15" s="54">
        <f>[3]Tabelas_Consumos!J21</f>
        <v>58055.545705900127</v>
      </c>
      <c r="M15" s="54">
        <f>[3]Tabelas_Consumos!K21</f>
        <v>50327.385718332807</v>
      </c>
      <c r="N15" s="54">
        <f>[3]Tabelas_Consumos!L21</f>
        <v>17999.177000809123</v>
      </c>
      <c r="O15" s="55">
        <f>[3]Tabelas_Consumos!M21</f>
        <v>17651.447</v>
      </c>
      <c r="P15" s="37"/>
      <c r="Q15" s="70"/>
      <c r="R15" s="71"/>
      <c r="S15" s="61"/>
      <c r="T15" s="61"/>
      <c r="U15" s="61"/>
      <c r="V15" s="61"/>
      <c r="W15" s="61"/>
    </row>
    <row r="16" spans="1:23" ht="15.75" thickBot="1" x14ac:dyDescent="0.3">
      <c r="A16" s="51"/>
      <c r="B16" s="56"/>
      <c r="C16" s="57">
        <v>12</v>
      </c>
      <c r="D16" s="58">
        <f>[3]Tabelas_Consumos!B22</f>
        <v>21801.986999819092</v>
      </c>
      <c r="E16" s="59">
        <f>[3]Tabelas_Consumos!C22</f>
        <v>26951.720583988208</v>
      </c>
      <c r="F16" s="59">
        <f>[3]Tabelas_Consumos!D22</f>
        <v>31463.623331328385</v>
      </c>
      <c r="G16" s="59">
        <f>[3]Tabelas_Consumos!E22</f>
        <v>29082.744317511064</v>
      </c>
      <c r="H16" s="59">
        <f>[3]Tabelas_Consumos!F22</f>
        <v>47867.52780650444</v>
      </c>
      <c r="I16" s="59">
        <f>[3]Tabelas_Consumos!G22</f>
        <v>51345.16662380792</v>
      </c>
      <c r="J16" s="59">
        <f>[3]Tabelas_Consumos!H22</f>
        <v>61483.830801096221</v>
      </c>
      <c r="K16" s="59">
        <f>[3]Tabelas_Consumos!I22</f>
        <v>29082.744317511064</v>
      </c>
      <c r="L16" s="59">
        <f>[3]Tabelas_Consumos!J22</f>
        <v>63917.24802708489</v>
      </c>
      <c r="M16" s="59">
        <f>[3]Tabelas_Consumos!K22</f>
        <v>45099.959966654475</v>
      </c>
      <c r="N16" s="59">
        <f>[3]Tabelas_Consumos!L22</f>
        <v>44438.647517787555</v>
      </c>
      <c r="O16" s="60">
        <f>[3]Tabelas_Consumos!M22</f>
        <v>23687.909704429272</v>
      </c>
      <c r="P16" s="37"/>
      <c r="Q16" s="70"/>
      <c r="R16" s="71"/>
      <c r="S16" s="61"/>
      <c r="T16" s="61"/>
      <c r="U16" s="61"/>
      <c r="V16" s="61"/>
      <c r="W16" s="61"/>
    </row>
    <row r="17" spans="1:23" x14ac:dyDescent="0.25">
      <c r="A17" s="51"/>
      <c r="B17" s="46" t="s">
        <v>22</v>
      </c>
      <c r="C17" s="47" t="s">
        <v>18</v>
      </c>
      <c r="D17" s="48">
        <f>[1]Tabelas_Consumos!B23</f>
        <v>121069.48375741333</v>
      </c>
      <c r="E17" s="49">
        <f>[1]Tabelas_Consumos!C23</f>
        <v>77612.993710124487</v>
      </c>
      <c r="F17" s="49">
        <f>[1]Tabelas_Consumos!D23</f>
        <v>51826.352756285982</v>
      </c>
      <c r="G17" s="49">
        <f>[1]Tabelas_Consumos!E23</f>
        <v>18095.780205267787</v>
      </c>
      <c r="H17" s="49">
        <f>[1]Tabelas_Consumos!F23</f>
        <v>0</v>
      </c>
      <c r="I17" s="49">
        <f>[1]Tabelas_Consumos!G23</f>
        <v>0</v>
      </c>
      <c r="J17" s="49">
        <f>[1]Tabelas_Consumos!H23</f>
        <v>-0.32334187751985155</v>
      </c>
      <c r="K17" s="49">
        <f>[1]Tabelas_Consumos!I23</f>
        <v>0</v>
      </c>
      <c r="L17" s="49">
        <f>[1]Tabelas_Consumos!J23</f>
        <v>0</v>
      </c>
      <c r="M17" s="49">
        <f>[1]Tabelas_Consumos!K23</f>
        <v>0</v>
      </c>
      <c r="N17" s="49">
        <f>[1]Tabelas_Consumos!L23</f>
        <v>29584.781628168872</v>
      </c>
      <c r="O17" s="50">
        <f>[1]Tabelas_Consumos!M23</f>
        <v>67339.037708072952</v>
      </c>
      <c r="P17" s="37"/>
      <c r="Q17" s="70"/>
      <c r="R17" s="71"/>
      <c r="S17" s="61"/>
      <c r="T17" s="61"/>
      <c r="U17" s="61"/>
      <c r="V17" s="61"/>
      <c r="W17" s="61"/>
    </row>
    <row r="18" spans="1:23" x14ac:dyDescent="0.25">
      <c r="A18" s="51"/>
      <c r="B18" s="51"/>
      <c r="C18" s="52" t="s">
        <v>19</v>
      </c>
      <c r="D18" s="53">
        <f>[1]Tabelas_Consumos!B24</f>
        <v>68469.180849060242</v>
      </c>
      <c r="E18" s="54">
        <f>[1]Tabelas_Consumos!C24</f>
        <v>49124.850772400154</v>
      </c>
      <c r="F18" s="54">
        <f>[1]Tabelas_Consumos!D24</f>
        <v>47716.131265654083</v>
      </c>
      <c r="G18" s="54">
        <f>[1]Tabelas_Consumos!E24</f>
        <v>6882.6846395844332</v>
      </c>
      <c r="H18" s="54">
        <f>[1]Tabelas_Consumos!F24</f>
        <v>0</v>
      </c>
      <c r="I18" s="54">
        <f>[1]Tabelas_Consumos!G24</f>
        <v>0</v>
      </c>
      <c r="J18" s="54">
        <f>[1]Tabelas_Consumos!H24</f>
        <v>0</v>
      </c>
      <c r="K18" s="54">
        <f>[1]Tabelas_Consumos!I24</f>
        <v>0</v>
      </c>
      <c r="L18" s="54">
        <f>[1]Tabelas_Consumos!J24</f>
        <v>0</v>
      </c>
      <c r="M18" s="54">
        <f>[1]Tabelas_Consumos!K24</f>
        <v>0</v>
      </c>
      <c r="N18" s="54">
        <f>[1]Tabelas_Consumos!L24</f>
        <v>43199.017041867977</v>
      </c>
      <c r="O18" s="55">
        <f>[1]Tabelas_Consumos!M24</f>
        <v>52971.2784111566</v>
      </c>
      <c r="P18" s="37"/>
      <c r="Q18" s="70"/>
      <c r="R18" s="71"/>
      <c r="S18" s="61"/>
      <c r="T18" s="61"/>
      <c r="U18" s="61"/>
      <c r="V18" s="61"/>
      <c r="W18" s="61"/>
    </row>
    <row r="19" spans="1:23" x14ac:dyDescent="0.25">
      <c r="A19" s="51"/>
      <c r="B19" s="51"/>
      <c r="C19" s="52" t="s">
        <v>20</v>
      </c>
      <c r="D19" s="53">
        <f>[2]Tabelas_Consumos!B23</f>
        <v>78620.211268184532</v>
      </c>
      <c r="E19" s="54">
        <f>[2]Tabelas_Consumos!C23</f>
        <v>64645.04741628316</v>
      </c>
      <c r="F19" s="54">
        <f>[2]Tabelas_Consumos!D23</f>
        <v>17138.781956008843</v>
      </c>
      <c r="G19" s="54">
        <f>[2]Tabelas_Consumos!E23</f>
        <v>2467.8223929698574</v>
      </c>
      <c r="H19" s="54">
        <f>[2]Tabelas_Consumos!F23</f>
        <v>0</v>
      </c>
      <c r="I19" s="54">
        <f>[2]Tabelas_Consumos!G23</f>
        <v>0</v>
      </c>
      <c r="J19" s="54">
        <f>[2]Tabelas_Consumos!H23</f>
        <v>0</v>
      </c>
      <c r="K19" s="54">
        <f>[2]Tabelas_Consumos!I23</f>
        <v>0</v>
      </c>
      <c r="L19" s="54">
        <f>[2]Tabelas_Consumos!J23</f>
        <v>0</v>
      </c>
      <c r="M19" s="54">
        <f>[2]Tabelas_Consumos!K23</f>
        <v>0</v>
      </c>
      <c r="N19" s="54">
        <f>[2]Tabelas_Consumos!L23</f>
        <v>13383.536906178013</v>
      </c>
      <c r="O19" s="55">
        <f>[2]Tabelas_Consumos!M23</f>
        <v>44031.808868014996</v>
      </c>
      <c r="P19" s="37"/>
      <c r="Q19" s="70"/>
      <c r="R19" s="71"/>
      <c r="S19" s="61"/>
      <c r="T19" s="61"/>
      <c r="U19" s="61"/>
      <c r="V19" s="61"/>
      <c r="W19" s="61"/>
    </row>
    <row r="20" spans="1:23" x14ac:dyDescent="0.25">
      <c r="A20" s="51"/>
      <c r="B20" s="51"/>
      <c r="C20" s="52">
        <v>10</v>
      </c>
      <c r="D20" s="53">
        <f>[2]Tabelas_Consumos!B24</f>
        <v>49824.892435473521</v>
      </c>
      <c r="E20" s="54">
        <f>[2]Tabelas_Consumos!C24</f>
        <v>54631.411134325361</v>
      </c>
      <c r="F20" s="54">
        <f>[2]Tabelas_Consumos!D24</f>
        <v>40584.037593899557</v>
      </c>
      <c r="G20" s="54">
        <f>[2]Tabelas_Consumos!E24</f>
        <v>5089.8775870352556</v>
      </c>
      <c r="H20" s="54">
        <f>[2]Tabelas_Consumos!F24</f>
        <v>0</v>
      </c>
      <c r="I20" s="54">
        <f>[2]Tabelas_Consumos!G24</f>
        <v>0</v>
      </c>
      <c r="J20" s="54">
        <f>[2]Tabelas_Consumos!H24</f>
        <v>0</v>
      </c>
      <c r="K20" s="54">
        <f>[2]Tabelas_Consumos!I24</f>
        <v>0</v>
      </c>
      <c r="L20" s="54">
        <f>[2]Tabelas_Consumos!J24</f>
        <v>0</v>
      </c>
      <c r="M20" s="54">
        <f>[2]Tabelas_Consumos!K24</f>
        <v>0</v>
      </c>
      <c r="N20" s="54">
        <f>[2]Tabelas_Consumos!L24</f>
        <v>23701.043420632664</v>
      </c>
      <c r="O20" s="55">
        <f>[2]Tabelas_Consumos!M24</f>
        <v>54189.245282492673</v>
      </c>
      <c r="P20" s="37"/>
      <c r="Q20" s="70"/>
      <c r="R20" s="71"/>
      <c r="S20" s="61"/>
      <c r="T20" s="61"/>
      <c r="U20" s="61"/>
      <c r="V20" s="61"/>
      <c r="W20" s="61"/>
    </row>
    <row r="21" spans="1:23" x14ac:dyDescent="0.25">
      <c r="A21" s="51"/>
      <c r="B21" s="51"/>
      <c r="C21" s="52">
        <v>11</v>
      </c>
      <c r="D21" s="53">
        <f>[3]Tabelas_Consumos!B23</f>
        <v>56541.984734993355</v>
      </c>
      <c r="E21" s="54">
        <f>[3]Tabelas_Consumos!C23</f>
        <v>46622.44708126974</v>
      </c>
      <c r="F21" s="54">
        <f>[3]Tabelas_Consumos!D23</f>
        <v>24132.230458290851</v>
      </c>
      <c r="G21" s="54">
        <f>[3]Tabelas_Consumos!E23</f>
        <v>0</v>
      </c>
      <c r="H21" s="54">
        <f>[3]Tabelas_Consumos!F23</f>
        <v>0</v>
      </c>
      <c r="I21" s="54">
        <f>[3]Tabelas_Consumos!G23</f>
        <v>0</v>
      </c>
      <c r="J21" s="54">
        <f>[3]Tabelas_Consumos!H23</f>
        <v>0</v>
      </c>
      <c r="K21" s="54">
        <f>[3]Tabelas_Consumos!I23</f>
        <v>0</v>
      </c>
      <c r="L21" s="54">
        <f>[3]Tabelas_Consumos!J23</f>
        <v>0</v>
      </c>
      <c r="M21" s="54">
        <f>[3]Tabelas_Consumos!K23</f>
        <v>0</v>
      </c>
      <c r="N21" s="54">
        <f>[3]Tabelas_Consumos!L23</f>
        <v>24673.6955061761</v>
      </c>
      <c r="O21" s="55">
        <f>[3]Tabelas_Consumos!M23</f>
        <v>37216.564411162777</v>
      </c>
      <c r="P21" s="37"/>
      <c r="Q21" s="70"/>
      <c r="R21" s="71"/>
      <c r="S21" s="61"/>
      <c r="T21" s="61"/>
      <c r="U21" s="61"/>
      <c r="V21" s="61"/>
      <c r="W21" s="61"/>
    </row>
    <row r="22" spans="1:23" ht="15.75" thickBot="1" x14ac:dyDescent="0.3">
      <c r="A22" s="56"/>
      <c r="B22" s="56"/>
      <c r="C22" s="57">
        <v>12</v>
      </c>
      <c r="D22" s="58">
        <f>[3]Tabelas_Consumos!B24</f>
        <v>42305.942468414003</v>
      </c>
      <c r="E22" s="59">
        <f>[3]Tabelas_Consumos!C24</f>
        <v>52677.02819739603</v>
      </c>
      <c r="F22" s="59">
        <f>[3]Tabelas_Consumos!D24</f>
        <v>13009.282015054469</v>
      </c>
      <c r="G22" s="59">
        <f>[3]Tabelas_Consumos!E24</f>
        <v>6876.6129671801809</v>
      </c>
      <c r="H22" s="59">
        <f>[3]Tabelas_Consumos!F24</f>
        <v>1803.5368802055968</v>
      </c>
      <c r="I22" s="59">
        <f>[3]Tabelas_Consumos!G24</f>
        <v>0</v>
      </c>
      <c r="J22" s="59">
        <f>[3]Tabelas_Consumos!H24</f>
        <v>0</v>
      </c>
      <c r="K22" s="59">
        <f>[3]Tabelas_Consumos!I24</f>
        <v>0</v>
      </c>
      <c r="L22" s="59">
        <f>[3]Tabelas_Consumos!J24</f>
        <v>0</v>
      </c>
      <c r="M22" s="59">
        <f>[3]Tabelas_Consumos!K24</f>
        <v>2521.8596259020028</v>
      </c>
      <c r="N22" s="59">
        <f>[3]Tabelas_Consumos!L24</f>
        <v>24001</v>
      </c>
      <c r="O22" s="60">
        <f>[3]Tabelas_Consumos!M24</f>
        <v>37985.926254607424</v>
      </c>
      <c r="P22" s="37"/>
      <c r="Q22" s="70"/>
      <c r="R22" s="71"/>
      <c r="S22" s="61"/>
      <c r="T22" s="61"/>
      <c r="U22" s="61"/>
      <c r="V22" s="61"/>
      <c r="W22" s="61"/>
    </row>
    <row r="23" spans="1:23" x14ac:dyDescent="0.25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61"/>
      <c r="R23" s="61"/>
      <c r="S23" s="61"/>
      <c r="T23" s="61"/>
      <c r="U23" s="61"/>
      <c r="V23" s="61"/>
      <c r="W23" s="61"/>
    </row>
    <row r="24" spans="1:23" ht="15.75" thickBot="1" x14ac:dyDescent="0.3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37"/>
      <c r="Q24" s="61"/>
      <c r="R24" s="61"/>
      <c r="S24" s="61"/>
      <c r="T24" s="61"/>
      <c r="U24" s="61"/>
      <c r="V24" s="61"/>
      <c r="W24" s="61"/>
    </row>
    <row r="25" spans="1:23" ht="15.75" thickBot="1" x14ac:dyDescent="0.3">
      <c r="A25" s="38" t="s">
        <v>23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40"/>
      <c r="P25" s="37"/>
    </row>
    <row r="26" spans="1:23" ht="15.75" thickBot="1" x14ac:dyDescent="0.3">
      <c r="A26" s="41" t="s">
        <v>1</v>
      </c>
      <c r="B26" s="41" t="s">
        <v>2</v>
      </c>
      <c r="C26" s="41" t="s">
        <v>3</v>
      </c>
      <c r="D26" s="73" t="s">
        <v>4</v>
      </c>
      <c r="E26" s="42" t="s">
        <v>5</v>
      </c>
      <c r="F26" s="42" t="s">
        <v>6</v>
      </c>
      <c r="G26" s="43" t="s">
        <v>7</v>
      </c>
      <c r="H26" s="43" t="s">
        <v>8</v>
      </c>
      <c r="I26" s="43" t="s">
        <v>9</v>
      </c>
      <c r="J26" s="43" t="s">
        <v>10</v>
      </c>
      <c r="K26" s="43" t="s">
        <v>11</v>
      </c>
      <c r="L26" s="43" t="s">
        <v>12</v>
      </c>
      <c r="M26" s="43" t="s">
        <v>13</v>
      </c>
      <c r="N26" s="43" t="s">
        <v>14</v>
      </c>
      <c r="O26" s="44" t="s">
        <v>15</v>
      </c>
      <c r="P26" s="37"/>
    </row>
    <row r="27" spans="1:23" x14ac:dyDescent="0.25">
      <c r="A27" s="74" t="s">
        <v>24</v>
      </c>
      <c r="B27" s="74" t="s">
        <v>17</v>
      </c>
      <c r="C27" s="75" t="s">
        <v>18</v>
      </c>
      <c r="D27" s="76">
        <f>[1]Tabelas_Consumos!B11</f>
        <v>74612.378619920055</v>
      </c>
      <c r="E27" s="77">
        <f>[1]Tabelas_Consumos!C11</f>
        <v>62070.944341899114</v>
      </c>
      <c r="F27" s="77">
        <f>[1]Tabelas_Consumos!D11</f>
        <v>76254.627093261108</v>
      </c>
      <c r="G27" s="77">
        <f>[1]Tabelas_Consumos!E11</f>
        <v>77374.024878975586</v>
      </c>
      <c r="H27" s="77">
        <f>[1]Tabelas_Consumos!F11</f>
        <v>80125.293967187812</v>
      </c>
      <c r="I27" s="77">
        <f>[1]Tabelas_Consumos!G11</f>
        <v>77597.722392733151</v>
      </c>
      <c r="J27" s="77">
        <f>[1]Tabelas_Consumos!H11</f>
        <v>74244.399297931712</v>
      </c>
      <c r="K27" s="77">
        <f>[1]Tabelas_Consumos!I11</f>
        <v>50247.200595004797</v>
      </c>
      <c r="L27" s="77">
        <f>[1]Tabelas_Consumos!J11</f>
        <v>70424.543801156789</v>
      </c>
      <c r="M27" s="77">
        <f>[1]Tabelas_Consumos!K11</f>
        <v>72477.613337040777</v>
      </c>
      <c r="N27" s="77">
        <f>[1]Tabelas_Consumos!L11</f>
        <v>61001.880284800412</v>
      </c>
      <c r="O27" s="78">
        <f>[1]Tabelas_Consumos!M11</f>
        <v>62085.697603131717</v>
      </c>
      <c r="P27" s="37"/>
    </row>
    <row r="28" spans="1:23" x14ac:dyDescent="0.25">
      <c r="A28" s="79"/>
      <c r="B28" s="79"/>
      <c r="C28" s="80" t="s">
        <v>19</v>
      </c>
      <c r="D28" s="81">
        <f>[1]Tabelas_Consumos!B12</f>
        <v>59574.634085971629</v>
      </c>
      <c r="E28" s="82">
        <f>[1]Tabelas_Consumos!C12</f>
        <v>59592.909750775529</v>
      </c>
      <c r="F28" s="82">
        <f>[1]Tabelas_Consumos!D12</f>
        <v>56568.12592962441</v>
      </c>
      <c r="G28" s="82">
        <f>[1]Tabelas_Consumos!E12</f>
        <v>73300.461230465851</v>
      </c>
      <c r="H28" s="82">
        <f>[1]Tabelas_Consumos!F12</f>
        <v>69089.611464463684</v>
      </c>
      <c r="I28" s="82">
        <f>[1]Tabelas_Consumos!G12</f>
        <v>52319.342181076841</v>
      </c>
      <c r="J28" s="82">
        <f>[1]Tabelas_Consumos!H12</f>
        <v>57073.054699874207</v>
      </c>
      <c r="K28" s="82">
        <f>[1]Tabelas_Consumos!I12</f>
        <v>47342.36799688304</v>
      </c>
      <c r="L28" s="82">
        <f>[1]Tabelas_Consumos!J12</f>
        <v>78069.11747445201</v>
      </c>
      <c r="M28" s="82">
        <f>[1]Tabelas_Consumos!K12</f>
        <v>58548.781226187893</v>
      </c>
      <c r="N28" s="82">
        <f>[1]Tabelas_Consumos!L12</f>
        <v>53819.636622859725</v>
      </c>
      <c r="O28" s="83">
        <f>[1]Tabelas_Consumos!M12</f>
        <v>63426.096466485978</v>
      </c>
      <c r="P28" s="37"/>
    </row>
    <row r="29" spans="1:23" x14ac:dyDescent="0.25">
      <c r="A29" s="79"/>
      <c r="B29" s="79"/>
      <c r="C29" s="80" t="s">
        <v>20</v>
      </c>
      <c r="D29" s="81">
        <f>[4]Tabelas_Consumos!B12</f>
        <v>53496.332423999913</v>
      </c>
      <c r="E29" s="82">
        <f>[4]Tabelas_Consumos!C12</f>
        <v>55428.457100832406</v>
      </c>
      <c r="F29" s="82">
        <f>[4]Tabelas_Consumos!D12</f>
        <v>65077.584059365239</v>
      </c>
      <c r="G29" s="82">
        <f>[4]Tabelas_Consumos!E12</f>
        <v>60911.526055211107</v>
      </c>
      <c r="H29" s="82">
        <f>[4]Tabelas_Consumos!F12</f>
        <v>62124.430786560399</v>
      </c>
      <c r="I29" s="82">
        <f>[4]Tabelas_Consumos!G12</f>
        <v>60354.694463133914</v>
      </c>
      <c r="J29" s="82">
        <f>[4]Tabelas_Consumos!H12</f>
        <v>60084.863997209817</v>
      </c>
      <c r="K29" s="82">
        <f>[4]Tabelas_Consumos!I12</f>
        <v>47819.497869497223</v>
      </c>
      <c r="L29" s="82">
        <f>[4]Tabelas_Consumos!J12</f>
        <v>69312.893805126601</v>
      </c>
      <c r="M29" s="82">
        <f>[4]Tabelas_Consumos!K12</f>
        <v>62547.279032584906</v>
      </c>
      <c r="N29" s="82">
        <f>[4]Tabelas_Consumos!L12</f>
        <v>67663.260650733806</v>
      </c>
      <c r="O29" s="83">
        <f>[4]Tabelas_Consumos!M12</f>
        <v>61693.260825511112</v>
      </c>
      <c r="P29" s="37"/>
    </row>
    <row r="30" spans="1:23" x14ac:dyDescent="0.25">
      <c r="A30" s="79"/>
      <c r="B30" s="79"/>
      <c r="C30" s="80">
        <v>10</v>
      </c>
      <c r="D30" s="81">
        <f>[5]Tabelas_Consumos!B11</f>
        <v>60450.546916731269</v>
      </c>
      <c r="E30" s="82">
        <f>[5]Tabelas_Consumos!C11</f>
        <v>65299.333465937416</v>
      </c>
      <c r="F30" s="82">
        <f>[5]Tabelas_Consumos!D11</f>
        <v>67684.398130534537</v>
      </c>
      <c r="G30" s="82">
        <f>[5]Tabelas_Consumos!E11</f>
        <v>62269.690098627048</v>
      </c>
      <c r="H30" s="82">
        <f>[5]Tabelas_Consumos!F11</f>
        <v>67979.144897236838</v>
      </c>
      <c r="I30" s="82">
        <f>[5]Tabelas_Consumos!G11</f>
        <v>62799.726157837911</v>
      </c>
      <c r="J30" s="82">
        <f>[5]Tabelas_Consumos!H11</f>
        <v>57969.465852777925</v>
      </c>
      <c r="K30" s="82">
        <f>[5]Tabelas_Consumos!I11</f>
        <v>51952.148907073039</v>
      </c>
      <c r="L30" s="82">
        <f>[5]Tabelas_Consumos!J11</f>
        <v>50771.725552590673</v>
      </c>
      <c r="M30" s="82">
        <f>[5]Tabelas_Consumos!K11</f>
        <v>63917.239187367886</v>
      </c>
      <c r="N30" s="82">
        <f>[5]Tabelas_Consumos!L11</f>
        <v>47266.305224352895</v>
      </c>
      <c r="O30" s="83">
        <f>[5]Tabelas_Consumos!M11</f>
        <v>54848.513210417281</v>
      </c>
      <c r="P30" s="37"/>
    </row>
    <row r="31" spans="1:23" x14ac:dyDescent="0.25">
      <c r="A31" s="79"/>
      <c r="B31" s="79"/>
      <c r="C31" s="80">
        <v>11</v>
      </c>
      <c r="D31" s="81">
        <f>[5]Tabelas_Consumos!B12</f>
        <v>65212.21665669122</v>
      </c>
      <c r="E31" s="82">
        <f>[5]Tabelas_Consumos!C12</f>
        <v>68151.258984830682</v>
      </c>
      <c r="F31" s="82">
        <f>[5]Tabelas_Consumos!D12</f>
        <v>61351.292480627497</v>
      </c>
      <c r="G31" s="82">
        <f>[5]Tabelas_Consumos!E12</f>
        <v>57223.041522382657</v>
      </c>
      <c r="H31" s="82">
        <f>[5]Tabelas_Consumos!F12</f>
        <v>68505.60576887583</v>
      </c>
      <c r="I31" s="82">
        <f>[5]Tabelas_Consumos!G12</f>
        <v>57648.060683418938</v>
      </c>
      <c r="J31" s="82">
        <f>[5]Tabelas_Consumos!H12</f>
        <v>51749.575150142453</v>
      </c>
      <c r="K31" s="82">
        <f>[5]Tabelas_Consumos!I12</f>
        <v>43298.950189800031</v>
      </c>
      <c r="L31" s="82">
        <f>[5]Tabelas_Consumos!J12</f>
        <v>45564.89323833424</v>
      </c>
      <c r="M31" s="82">
        <f>[5]Tabelas_Consumos!K12</f>
        <v>56171.241791125285</v>
      </c>
      <c r="N31" s="82">
        <f>[5]Tabelas_Consumos!L12</f>
        <v>59160.489918773164</v>
      </c>
      <c r="O31" s="83">
        <f>[5]Tabelas_Consumos!M12</f>
        <v>52996.34980842712</v>
      </c>
      <c r="P31" s="37"/>
    </row>
    <row r="32" spans="1:23" ht="15.75" thickBot="1" x14ac:dyDescent="0.3">
      <c r="A32" s="79"/>
      <c r="B32" s="84"/>
      <c r="C32" s="85">
        <v>12</v>
      </c>
      <c r="D32" s="86">
        <f>[3]Tabelas_Consumos!B12</f>
        <v>58528.295214600257</v>
      </c>
      <c r="E32" s="87">
        <f>[3]Tabelas_Consumos!C12</f>
        <v>63898.623170979758</v>
      </c>
      <c r="F32" s="87">
        <f>[3]Tabelas_Consumos!D12</f>
        <v>55537.474424245964</v>
      </c>
      <c r="G32" s="87">
        <f>[3]Tabelas_Consumos!E12</f>
        <v>67516.363778836909</v>
      </c>
      <c r="H32" s="87">
        <f>[3]Tabelas_Consumos!F12</f>
        <v>63097.104133378351</v>
      </c>
      <c r="I32" s="87">
        <f>[3]Tabelas_Consumos!G12</f>
        <v>56300.057276456151</v>
      </c>
      <c r="J32" s="87">
        <f>[3]Tabelas_Consumos!H12</f>
        <v>47252.798815531409</v>
      </c>
      <c r="K32" s="87">
        <f>[3]Tabelas_Consumos!I12</f>
        <v>31051.873005929541</v>
      </c>
      <c r="L32" s="87">
        <f>[3]Tabelas_Consumos!J12</f>
        <v>57158.756980853657</v>
      </c>
      <c r="M32" s="87">
        <f>[3]Tabelas_Consumos!K12</f>
        <v>46929.549196865177</v>
      </c>
      <c r="N32" s="87">
        <f>[3]Tabelas_Consumos!L12</f>
        <v>37788.548905664764</v>
      </c>
      <c r="O32" s="88">
        <f>[3]Tabelas_Consumos!M12</f>
        <v>41510.586013153734</v>
      </c>
      <c r="P32" s="37"/>
    </row>
    <row r="33" spans="1:17" x14ac:dyDescent="0.25">
      <c r="A33" s="79"/>
      <c r="B33" s="74" t="s">
        <v>21</v>
      </c>
      <c r="C33" s="75" t="s">
        <v>18</v>
      </c>
      <c r="D33" s="76">
        <f>[1]Tabelas_Consumos!B28</f>
        <v>42740.284891600473</v>
      </c>
      <c r="E33" s="77">
        <f>[1]Tabelas_Consumos!C28</f>
        <v>43199.442846197177</v>
      </c>
      <c r="F33" s="77">
        <f>[1]Tabelas_Consumos!D28</f>
        <v>55474.243932686113</v>
      </c>
      <c r="G33" s="77">
        <f>[1]Tabelas_Consumos!E28</f>
        <v>60030.104934027717</v>
      </c>
      <c r="H33" s="77">
        <f>[1]Tabelas_Consumos!F28</f>
        <v>66192.936459748133</v>
      </c>
      <c r="I33" s="77">
        <f>[1]Tabelas_Consumos!G28</f>
        <v>72113.458908221131</v>
      </c>
      <c r="J33" s="77">
        <f>[1]Tabelas_Consumos!H28</f>
        <v>80862.098753881903</v>
      </c>
      <c r="K33" s="77">
        <f>[1]Tabelas_Consumos!I28</f>
        <v>42122.560202870998</v>
      </c>
      <c r="L33" s="77">
        <f>[1]Tabelas_Consumos!J28</f>
        <v>69240.753963237308</v>
      </c>
      <c r="M33" s="77">
        <f>[1]Tabelas_Consumos!K28</f>
        <v>65804.801699017698</v>
      </c>
      <c r="N33" s="77">
        <f>[1]Tabelas_Consumos!L28</f>
        <v>52173.648057173465</v>
      </c>
      <c r="O33" s="78">
        <f>[1]Tabelas_Consumos!M28</f>
        <v>48115.817745486362</v>
      </c>
      <c r="P33" s="37"/>
    </row>
    <row r="34" spans="1:17" x14ac:dyDescent="0.25">
      <c r="A34" s="79"/>
      <c r="B34" s="79"/>
      <c r="C34" s="80" t="s">
        <v>19</v>
      </c>
      <c r="D34" s="81">
        <f>[4]Tabelas_Consumos!B28</f>
        <v>47171.94374566467</v>
      </c>
      <c r="E34" s="82">
        <f>[4]Tabelas_Consumos!C28</f>
        <v>49918.092992897764</v>
      </c>
      <c r="F34" s="82">
        <f>[4]Tabelas_Consumos!D28</f>
        <v>51838.910109956312</v>
      </c>
      <c r="G34" s="82">
        <f>[4]Tabelas_Consumos!E28</f>
        <v>47663.364195049493</v>
      </c>
      <c r="H34" s="82">
        <f>[4]Tabelas_Consumos!F28</f>
        <v>46435.610390364309</v>
      </c>
      <c r="I34" s="82">
        <f>[4]Tabelas_Consumos!G28</f>
        <v>65118.573697801818</v>
      </c>
      <c r="J34" s="82">
        <f>[4]Tabelas_Consumos!H28</f>
        <v>64105.456019762394</v>
      </c>
      <c r="K34" s="82">
        <f>[4]Tabelas_Consumos!I28</f>
        <v>46955.370377432497</v>
      </c>
      <c r="L34" s="82">
        <f>[4]Tabelas_Consumos!J28</f>
        <v>52440.459545033453</v>
      </c>
      <c r="M34" s="82">
        <f>[4]Tabelas_Consumos!K28</f>
        <v>46103.002401981103</v>
      </c>
      <c r="N34" s="82">
        <f>[4]Tabelas_Consumos!L28</f>
        <v>35130.009070380773</v>
      </c>
      <c r="O34" s="83">
        <f>[4]Tabelas_Consumos!M28</f>
        <v>37965.771607312585</v>
      </c>
      <c r="P34" s="37"/>
    </row>
    <row r="35" spans="1:17" x14ac:dyDescent="0.25">
      <c r="A35" s="79"/>
      <c r="B35" s="79"/>
      <c r="C35" s="80" t="s">
        <v>20</v>
      </c>
      <c r="D35" s="81">
        <f>[4]Tabelas_Consumos!B29</f>
        <v>28532.848187309624</v>
      </c>
      <c r="E35" s="82">
        <f>[4]Tabelas_Consumos!C29</f>
        <v>32755.760966002039</v>
      </c>
      <c r="F35" s="82">
        <f>[4]Tabelas_Consumos!D29</f>
        <v>37702.165793561318</v>
      </c>
      <c r="G35" s="82">
        <f>[4]Tabelas_Consumos!E29</f>
        <v>36666.623902968699</v>
      </c>
      <c r="H35" s="82">
        <f>[4]Tabelas_Consumos!F29</f>
        <v>51648.09203354449</v>
      </c>
      <c r="I35" s="82">
        <f>[4]Tabelas_Consumos!G29</f>
        <v>60850.567017703106</v>
      </c>
      <c r="J35" s="82">
        <f>[4]Tabelas_Consumos!H29</f>
        <v>50001.854748823571</v>
      </c>
      <c r="K35" s="82">
        <f>[4]Tabelas_Consumos!I29</f>
        <v>32778.652645765593</v>
      </c>
      <c r="L35" s="82">
        <f>[4]Tabelas_Consumos!J29</f>
        <v>69755.928471988474</v>
      </c>
      <c r="M35" s="82">
        <f>[4]Tabelas_Consumos!K29</f>
        <v>63414.795289946138</v>
      </c>
      <c r="N35" s="82">
        <f>[4]Tabelas_Consumos!L29</f>
        <v>49697.423875910317</v>
      </c>
      <c r="O35" s="83">
        <f>[4]Tabelas_Consumos!M29</f>
        <v>36896.067248431551</v>
      </c>
      <c r="P35" s="37"/>
    </row>
    <row r="36" spans="1:17" x14ac:dyDescent="0.25">
      <c r="A36" s="79"/>
      <c r="B36" s="79"/>
      <c r="C36" s="80">
        <v>10</v>
      </c>
      <c r="D36" s="81">
        <f>[5]Tabelas_Consumos!B28</f>
        <v>42042.039141122645</v>
      </c>
      <c r="E36" s="82">
        <f>[5]Tabelas_Consumos!C28</f>
        <v>37182.149179966793</v>
      </c>
      <c r="F36" s="82">
        <f>[5]Tabelas_Consumos!D28</f>
        <v>41491.263760286674</v>
      </c>
      <c r="G36" s="82">
        <f>[5]Tabelas_Consumos!E28</f>
        <v>41592.774375356443</v>
      </c>
      <c r="H36" s="82">
        <f>[5]Tabelas_Consumos!F28</f>
        <v>48588.905400472926</v>
      </c>
      <c r="I36" s="82">
        <f>[5]Tabelas_Consumos!G28</f>
        <v>49355.363968543876</v>
      </c>
      <c r="J36" s="82">
        <f>[5]Tabelas_Consumos!H28</f>
        <v>50969.955866542194</v>
      </c>
      <c r="K36" s="82">
        <f>[5]Tabelas_Consumos!I28</f>
        <v>39185.627260871879</v>
      </c>
      <c r="L36" s="82">
        <f>[5]Tabelas_Consumos!J28</f>
        <v>51412.782085233477</v>
      </c>
      <c r="M36" s="82">
        <f>[5]Tabelas_Consumos!K28</f>
        <v>52251.55224474796</v>
      </c>
      <c r="N36" s="82">
        <f>[5]Tabelas_Consumos!L28</f>
        <v>35303.52485232507</v>
      </c>
      <c r="O36" s="83">
        <f>[5]Tabelas_Consumos!M28</f>
        <v>34273.386791912373</v>
      </c>
      <c r="P36" s="37"/>
    </row>
    <row r="37" spans="1:17" x14ac:dyDescent="0.25">
      <c r="A37" s="79"/>
      <c r="B37" s="79"/>
      <c r="C37" s="80">
        <v>11</v>
      </c>
      <c r="D37" s="81">
        <f>[5]Tabelas_Consumos!B29</f>
        <v>43693.134752849845</v>
      </c>
      <c r="E37" s="82">
        <f>[5]Tabelas_Consumos!C29</f>
        <v>26197.960584204699</v>
      </c>
      <c r="F37" s="82">
        <f>[5]Tabelas_Consumos!D29</f>
        <v>28155.137263316341</v>
      </c>
      <c r="G37" s="82">
        <f>[5]Tabelas_Consumos!E29</f>
        <v>36977.347731536611</v>
      </c>
      <c r="H37" s="82">
        <f>[5]Tabelas_Consumos!F29</f>
        <v>61602.460319967562</v>
      </c>
      <c r="I37" s="82">
        <f>[5]Tabelas_Consumos!G29</f>
        <v>47994.533689326774</v>
      </c>
      <c r="J37" s="82">
        <f>[5]Tabelas_Consumos!H29</f>
        <v>38807.771366610839</v>
      </c>
      <c r="K37" s="82">
        <f>[5]Tabelas_Consumos!I29</f>
        <v>22423.580126002165</v>
      </c>
      <c r="L37" s="82">
        <f>[5]Tabelas_Consumos!J29</f>
        <v>31800.127362425039</v>
      </c>
      <c r="M37" s="82">
        <f>[5]Tabelas_Consumos!K29</f>
        <v>45362.649181079367</v>
      </c>
      <c r="N37" s="54">
        <f>[5]Tabelas_Consumos!L29</f>
        <v>33432.330631673634</v>
      </c>
      <c r="O37" s="83">
        <f>[5]Tabelas_Consumos!M29</f>
        <v>17590.499000000003</v>
      </c>
      <c r="P37" s="37"/>
    </row>
    <row r="38" spans="1:17" ht="15.75" thickBot="1" x14ac:dyDescent="0.3">
      <c r="A38" s="79"/>
      <c r="B38" s="84"/>
      <c r="C38" s="85">
        <v>12</v>
      </c>
      <c r="D38" s="86">
        <f>[3]Tabelas_Consumos!B29</f>
        <v>17220.528270771872</v>
      </c>
      <c r="E38" s="59">
        <f>[3]Tabelas_Consumos!C29</f>
        <v>24835.354193742962</v>
      </c>
      <c r="F38" s="59">
        <f>[3]Tabelas_Consumos!D29</f>
        <v>22041.958089885095</v>
      </c>
      <c r="G38" s="59">
        <f>[3]Tabelas_Consumos!E29</f>
        <v>28011.62790251373</v>
      </c>
      <c r="H38" s="59">
        <f>[3]Tabelas_Consumos!F29</f>
        <v>33854.595494317851</v>
      </c>
      <c r="I38" s="59">
        <f>[3]Tabelas_Consumos!G29</f>
        <v>38376.386902257764</v>
      </c>
      <c r="J38" s="59">
        <f>[3]Tabelas_Consumos!H29</f>
        <v>37237.985627467213</v>
      </c>
      <c r="K38" s="59">
        <f>[3]Tabelas_Consumos!I29</f>
        <v>27914.117877515582</v>
      </c>
      <c r="L38" s="59">
        <f>[3]Tabelas_Consumos!J29</f>
        <v>33536.126550031178</v>
      </c>
      <c r="M38" s="59">
        <f>[3]Tabelas_Consumos!K29</f>
        <v>23510.632472206024</v>
      </c>
      <c r="N38" s="59">
        <f>[3]Tabelas_Consumos!L29</f>
        <v>25103</v>
      </c>
      <c r="O38" s="60">
        <f>[3]Tabelas_Consumos!M29</f>
        <v>17953.376914968539</v>
      </c>
      <c r="P38" s="65"/>
      <c r="Q38" s="19"/>
    </row>
    <row r="39" spans="1:17" x14ac:dyDescent="0.25">
      <c r="A39" s="79"/>
      <c r="B39" s="74" t="s">
        <v>22</v>
      </c>
      <c r="C39" s="75" t="s">
        <v>18</v>
      </c>
      <c r="D39" s="76">
        <f>[1]Tabelas_Consumos!B30</f>
        <v>70193.243036965825</v>
      </c>
      <c r="E39" s="49">
        <f>[1]Tabelas_Consumos!C30</f>
        <v>68605.983160592092</v>
      </c>
      <c r="F39" s="49">
        <f>[1]Tabelas_Consumos!D30</f>
        <v>45648.066298143669</v>
      </c>
      <c r="G39" s="49">
        <f>[1]Tabelas_Consumos!E30</f>
        <v>14912.128869917491</v>
      </c>
      <c r="H39" s="49">
        <f>[1]Tabelas_Consumos!F30</f>
        <v>0</v>
      </c>
      <c r="I39" s="49">
        <f>[1]Tabelas_Consumos!G30</f>
        <v>0</v>
      </c>
      <c r="J39" s="49">
        <f>[1]Tabelas_Consumos!H30</f>
        <v>0.2422477154104854</v>
      </c>
      <c r="K39" s="49">
        <f>[1]Tabelas_Consumos!I30</f>
        <v>0</v>
      </c>
      <c r="L39" s="49">
        <f>[1]Tabelas_Consumos!J30</f>
        <v>0</v>
      </c>
      <c r="M39" s="49">
        <f>[1]Tabelas_Consumos!K30</f>
        <v>0</v>
      </c>
      <c r="N39" s="49">
        <f>[1]Tabelas_Consumos!L30</f>
        <v>18774.100705996192</v>
      </c>
      <c r="O39" s="50">
        <f>[1]Tabelas_Consumos!M30</f>
        <v>48817.311742493141</v>
      </c>
      <c r="P39" s="65"/>
      <c r="Q39" s="19"/>
    </row>
    <row r="40" spans="1:17" x14ac:dyDescent="0.25">
      <c r="A40" s="79"/>
      <c r="B40" s="79"/>
      <c r="C40" s="80" t="s">
        <v>19</v>
      </c>
      <c r="D40" s="81">
        <f>[4]Tabelas_Consumos!B30</f>
        <v>44112.814714775188</v>
      </c>
      <c r="E40" s="54">
        <f>[4]Tabelas_Consumos!C30</f>
        <v>42680.17097951311</v>
      </c>
      <c r="F40" s="54">
        <f>[4]Tabelas_Consumos!D30</f>
        <v>30419.847060619431</v>
      </c>
      <c r="G40" s="54">
        <f>[4]Tabelas_Consumos!E30</f>
        <v>4437.6955647029754</v>
      </c>
      <c r="H40" s="54">
        <f>[4]Tabelas_Consumos!F30</f>
        <v>0</v>
      </c>
      <c r="I40" s="54">
        <f>[4]Tabelas_Consumos!G30</f>
        <v>0</v>
      </c>
      <c r="J40" s="54">
        <f>[4]Tabelas_Consumos!H30</f>
        <v>0</v>
      </c>
      <c r="K40" s="54">
        <f>[4]Tabelas_Consumos!I30</f>
        <v>0</v>
      </c>
      <c r="L40" s="54">
        <f>[4]Tabelas_Consumos!J30</f>
        <v>0</v>
      </c>
      <c r="M40" s="54">
        <f>[4]Tabelas_Consumos!K30</f>
        <v>0</v>
      </c>
      <c r="N40" s="54">
        <f>[4]Tabelas_Consumos!L30</f>
        <v>26575.434607038609</v>
      </c>
      <c r="O40" s="55">
        <f>[4]Tabelas_Consumos!M30</f>
        <v>54551.722719929756</v>
      </c>
      <c r="P40" s="65"/>
      <c r="Q40" s="19"/>
    </row>
    <row r="41" spans="1:17" x14ac:dyDescent="0.25">
      <c r="A41" s="79"/>
      <c r="B41" s="79"/>
      <c r="C41" s="80" t="s">
        <v>20</v>
      </c>
      <c r="D41" s="81">
        <f>[4]Tabelas_Consumos!B31</f>
        <v>43019.778901109523</v>
      </c>
      <c r="E41" s="54">
        <f>[4]Tabelas_Consumos!C31</f>
        <v>45748.332254175672</v>
      </c>
      <c r="F41" s="54">
        <f>[4]Tabelas_Consumos!D31</f>
        <v>10797.693294321347</v>
      </c>
      <c r="G41" s="54">
        <f>[4]Tabelas_Consumos!E31</f>
        <v>1893.076149094537</v>
      </c>
      <c r="H41" s="54">
        <f>[4]Tabelas_Consumos!F31</f>
        <v>0</v>
      </c>
      <c r="I41" s="54">
        <f>[4]Tabelas_Consumos!G31</f>
        <v>0</v>
      </c>
      <c r="J41" s="54">
        <f>[4]Tabelas_Consumos!H31</f>
        <v>0</v>
      </c>
      <c r="K41" s="54">
        <f>[4]Tabelas_Consumos!I31</f>
        <v>0</v>
      </c>
      <c r="L41" s="54">
        <f>[4]Tabelas_Consumos!J31</f>
        <v>0</v>
      </c>
      <c r="M41" s="54">
        <f>[4]Tabelas_Consumos!K31</f>
        <v>0</v>
      </c>
      <c r="N41" s="54">
        <f>[4]Tabelas_Consumos!L31</f>
        <v>14262.839964488952</v>
      </c>
      <c r="O41" s="55">
        <f>[4]Tabelas_Consumos!M31</f>
        <v>35080.835786601107</v>
      </c>
      <c r="P41" s="65"/>
      <c r="Q41" s="19"/>
    </row>
    <row r="42" spans="1:17" x14ac:dyDescent="0.25">
      <c r="A42" s="79"/>
      <c r="B42" s="79"/>
      <c r="C42" s="80">
        <v>10</v>
      </c>
      <c r="D42" s="81">
        <f>[5]Tabelas_Consumos!B30</f>
        <v>55153.090915238208</v>
      </c>
      <c r="E42" s="54">
        <f>[5]Tabelas_Consumos!C30</f>
        <v>53153.98805988198</v>
      </c>
      <c r="F42" s="54">
        <f>[5]Tabelas_Consumos!D30</f>
        <v>38671.59500104902</v>
      </c>
      <c r="G42" s="54">
        <f>[5]Tabelas_Consumos!E30</f>
        <v>4230.7828027557507</v>
      </c>
      <c r="H42" s="54">
        <f>[5]Tabelas_Consumos!F30</f>
        <v>0</v>
      </c>
      <c r="I42" s="54">
        <f>[5]Tabelas_Consumos!G30</f>
        <v>0</v>
      </c>
      <c r="J42" s="54">
        <f>[5]Tabelas_Consumos!H30</f>
        <v>0</v>
      </c>
      <c r="K42" s="54">
        <f>[5]Tabelas_Consumos!I30</f>
        <v>0</v>
      </c>
      <c r="L42" s="54">
        <f>[5]Tabelas_Consumos!J30</f>
        <v>0</v>
      </c>
      <c r="M42" s="54">
        <f>[5]Tabelas_Consumos!K30</f>
        <v>0</v>
      </c>
      <c r="N42" s="54">
        <f>[5]Tabelas_Consumos!L30</f>
        <v>13345.566426463309</v>
      </c>
      <c r="O42" s="55">
        <f>[5]Tabelas_Consumos!M30</f>
        <v>39029.459269235645</v>
      </c>
      <c r="P42" s="65"/>
      <c r="Q42" s="19"/>
    </row>
    <row r="43" spans="1:17" x14ac:dyDescent="0.25">
      <c r="A43" s="79"/>
      <c r="B43" s="79"/>
      <c r="C43" s="80">
        <v>11</v>
      </c>
      <c r="D43" s="81">
        <f>[5]Tabelas_Consumos!B31</f>
        <v>65617.485752031207</v>
      </c>
      <c r="E43" s="54">
        <f>[5]Tabelas_Consumos!C31</f>
        <v>27117.697586190854</v>
      </c>
      <c r="F43" s="54">
        <f>[5]Tabelas_Consumos!D31</f>
        <v>14129.833724041237</v>
      </c>
      <c r="G43" s="54">
        <f>[5]Tabelas_Consumos!E31</f>
        <v>0</v>
      </c>
      <c r="H43" s="54">
        <f>[5]Tabelas_Consumos!F31</f>
        <v>0</v>
      </c>
      <c r="I43" s="54">
        <f>[5]Tabelas_Consumos!G31</f>
        <v>0</v>
      </c>
      <c r="J43" s="54">
        <f>[5]Tabelas_Consumos!H31</f>
        <v>0</v>
      </c>
      <c r="K43" s="54">
        <f>[5]Tabelas_Consumos!I31</f>
        <v>0</v>
      </c>
      <c r="L43" s="54">
        <f>[5]Tabelas_Consumos!J31</f>
        <v>0</v>
      </c>
      <c r="M43" s="54">
        <f>[5]Tabelas_Consumos!K31</f>
        <v>0</v>
      </c>
      <c r="N43" s="54">
        <f>[5]Tabelas_Consumos!L31</f>
        <v>30953.123001724205</v>
      </c>
      <c r="O43" s="55">
        <f>[5]Tabelas_Consumos!M31</f>
        <v>33342.519851368583</v>
      </c>
      <c r="P43" s="65"/>
      <c r="Q43" s="19"/>
    </row>
    <row r="44" spans="1:17" ht="15.75" thickBot="1" x14ac:dyDescent="0.3">
      <c r="A44" s="84"/>
      <c r="B44" s="84"/>
      <c r="C44" s="85">
        <v>12</v>
      </c>
      <c r="D44" s="86">
        <f>[3]Tabelas_Consumos!B31</f>
        <v>29826.638901618975</v>
      </c>
      <c r="E44" s="59">
        <f>[3]Tabelas_Consumos!C31</f>
        <v>62981.735460049516</v>
      </c>
      <c r="F44" s="59">
        <f>[3]Tabelas_Consumos!D31</f>
        <v>9521.7829494494545</v>
      </c>
      <c r="G44" s="59">
        <f>[3]Tabelas_Consumos!E31</f>
        <v>8285.48098593127</v>
      </c>
      <c r="H44" s="59">
        <f>[3]Tabelas_Consumos!F31</f>
        <v>1471.1097520812054</v>
      </c>
      <c r="I44" s="59">
        <f>[3]Tabelas_Consumos!G31</f>
        <v>0</v>
      </c>
      <c r="J44" s="59">
        <f>[3]Tabelas_Consumos!H31</f>
        <v>0</v>
      </c>
      <c r="K44" s="59">
        <f>[3]Tabelas_Consumos!I31</f>
        <v>0</v>
      </c>
      <c r="L44" s="59">
        <f>[3]Tabelas_Consumos!J31</f>
        <v>0</v>
      </c>
      <c r="M44" s="59">
        <f>[3]Tabelas_Consumos!K31</f>
        <v>1316.3492891218398</v>
      </c>
      <c r="N44" s="59">
        <f>[3]Tabelas_Consumos!L31</f>
        <v>15353</v>
      </c>
      <c r="O44" s="60">
        <f>[3]Tabelas_Consumos!M31</f>
        <v>30678.327523449421</v>
      </c>
      <c r="P44" s="65"/>
      <c r="Q44" s="19"/>
    </row>
    <row r="45" spans="1:17" x14ac:dyDescent="0.25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5.75" thickBot="1" x14ac:dyDescent="0.3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5.75" thickBot="1" x14ac:dyDescent="0.3">
      <c r="A47" s="38" t="s">
        <v>25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40"/>
      <c r="P47" s="37"/>
    </row>
    <row r="48" spans="1:17" ht="15.75" thickBot="1" x14ac:dyDescent="0.3">
      <c r="A48" s="41" t="s">
        <v>1</v>
      </c>
      <c r="B48" s="41" t="s">
        <v>2</v>
      </c>
      <c r="C48" s="41" t="s">
        <v>3</v>
      </c>
      <c r="D48" s="73" t="s">
        <v>4</v>
      </c>
      <c r="E48" s="42" t="s">
        <v>5</v>
      </c>
      <c r="F48" s="42" t="s">
        <v>6</v>
      </c>
      <c r="G48" s="43" t="s">
        <v>7</v>
      </c>
      <c r="H48" s="43" t="s">
        <v>8</v>
      </c>
      <c r="I48" s="43" t="s">
        <v>9</v>
      </c>
      <c r="J48" s="43" t="s">
        <v>10</v>
      </c>
      <c r="K48" s="43" t="s">
        <v>11</v>
      </c>
      <c r="L48" s="43" t="s">
        <v>12</v>
      </c>
      <c r="M48" s="43" t="s">
        <v>13</v>
      </c>
      <c r="N48" s="43" t="s">
        <v>14</v>
      </c>
      <c r="O48" s="44" t="s">
        <v>15</v>
      </c>
      <c r="P48" s="37"/>
    </row>
    <row r="49" spans="1:17" x14ac:dyDescent="0.25">
      <c r="A49" s="74" t="s">
        <v>26</v>
      </c>
      <c r="B49" s="74" t="s">
        <v>17</v>
      </c>
      <c r="C49" s="75" t="s">
        <v>18</v>
      </c>
      <c r="D49" s="76">
        <f>[1]Tabelas_Consumos!B16</f>
        <v>147825.55111411825</v>
      </c>
      <c r="E49" s="77">
        <f>[1]Tabelas_Consumos!C16</f>
        <v>115452.8698370107</v>
      </c>
      <c r="F49" s="77">
        <f>[1]Tabelas_Consumos!D16</f>
        <v>111903.14194991237</v>
      </c>
      <c r="G49" s="77">
        <f>[1]Tabelas_Consumos!E16</f>
        <v>95970.036511786719</v>
      </c>
      <c r="H49" s="77">
        <f>[1]Tabelas_Consumos!F16</f>
        <v>106536.42834000879</v>
      </c>
      <c r="I49" s="77">
        <f>[1]Tabelas_Consumos!G16</f>
        <v>125524.40926980792</v>
      </c>
      <c r="J49" s="77">
        <f>[1]Tabelas_Consumos!H16</f>
        <v>137624.54105597417</v>
      </c>
      <c r="K49" s="77">
        <f>[1]Tabelas_Consumos!I16</f>
        <v>150417.92678118157</v>
      </c>
      <c r="L49" s="77">
        <f>[1]Tabelas_Consumos!J16</f>
        <v>128665.57848618401</v>
      </c>
      <c r="M49" s="77">
        <f>[1]Tabelas_Consumos!K16</f>
        <v>127850.10291017215</v>
      </c>
      <c r="N49" s="77">
        <f>[1]Tabelas_Consumos!L16</f>
        <v>144501.4727832666</v>
      </c>
      <c r="O49" s="78">
        <f>[1]Tabelas_Consumos!M16</f>
        <v>162917.20865183364</v>
      </c>
      <c r="P49" s="37"/>
    </row>
    <row r="50" spans="1:17" x14ac:dyDescent="0.25">
      <c r="A50" s="79"/>
      <c r="B50" s="79"/>
      <c r="C50" s="80" t="s">
        <v>19</v>
      </c>
      <c r="D50" s="81">
        <f>[4]Tabelas_Consumos!B16</f>
        <v>168376.92508732941</v>
      </c>
      <c r="E50" s="82">
        <f>[4]Tabelas_Consumos!C16</f>
        <v>139221.38981472439</v>
      </c>
      <c r="F50" s="82">
        <f>[4]Tabelas_Consumos!D16</f>
        <v>132921.15613325813</v>
      </c>
      <c r="G50" s="82">
        <f>[4]Tabelas_Consumos!E16</f>
        <v>121844.24581486464</v>
      </c>
      <c r="H50" s="82">
        <f>[4]Tabelas_Consumos!F16</f>
        <v>132695.65366928131</v>
      </c>
      <c r="I50" s="82">
        <f>[4]Tabelas_Consumos!G16</f>
        <v>113789.0622277287</v>
      </c>
      <c r="J50" s="82">
        <f>[4]Tabelas_Consumos!H16</f>
        <v>128130.79070343323</v>
      </c>
      <c r="K50" s="82">
        <f>[4]Tabelas_Consumos!I16</f>
        <v>119879.01668668447</v>
      </c>
      <c r="L50" s="82">
        <f>[4]Tabelas_Consumos!J16</f>
        <v>114438.22967897165</v>
      </c>
      <c r="M50" s="82">
        <f>[4]Tabelas_Consumos!K16</f>
        <v>125483.54761291607</v>
      </c>
      <c r="N50" s="82">
        <f>[4]Tabelas_Consumos!L16</f>
        <v>132629.20821754538</v>
      </c>
      <c r="O50" s="83">
        <f>[4]Tabelas_Consumos!M16</f>
        <v>147920.08639782105</v>
      </c>
      <c r="P50" s="37"/>
    </row>
    <row r="51" spans="1:17" x14ac:dyDescent="0.25">
      <c r="A51" s="79"/>
      <c r="B51" s="79"/>
      <c r="C51" s="80" t="s">
        <v>20</v>
      </c>
      <c r="D51" s="81">
        <f>[4]Tabelas_Consumos!B17</f>
        <v>140087.10681812651</v>
      </c>
      <c r="E51" s="82">
        <f>[4]Tabelas_Consumos!C17</f>
        <v>116252.54445727274</v>
      </c>
      <c r="F51" s="82">
        <f>[4]Tabelas_Consumos!D17</f>
        <v>131337.83105237747</v>
      </c>
      <c r="G51" s="82">
        <f>[4]Tabelas_Consumos!E17</f>
        <v>125682.52263945162</v>
      </c>
      <c r="H51" s="82">
        <f>[4]Tabelas_Consumos!F17</f>
        <v>130760.56474299387</v>
      </c>
      <c r="I51" s="82">
        <f>[4]Tabelas_Consumos!G17</f>
        <v>131385.84123325071</v>
      </c>
      <c r="J51" s="82">
        <f>[4]Tabelas_Consumos!H17</f>
        <v>139434.38179434335</v>
      </c>
      <c r="K51" s="82">
        <f>[4]Tabelas_Consumos!I17</f>
        <v>141364.9790096065</v>
      </c>
      <c r="L51" s="82">
        <f>[4]Tabelas_Consumos!J17</f>
        <v>117901.30646513788</v>
      </c>
      <c r="M51" s="82">
        <f>[4]Tabelas_Consumos!K17</f>
        <v>133633.97852607348</v>
      </c>
      <c r="N51" s="82">
        <f>[4]Tabelas_Consumos!L17</f>
        <v>128275.30878648552</v>
      </c>
      <c r="O51" s="83">
        <f>[4]Tabelas_Consumos!M17</f>
        <v>141105.35433587138</v>
      </c>
      <c r="P51" s="89"/>
    </row>
    <row r="52" spans="1:17" x14ac:dyDescent="0.25">
      <c r="A52" s="79"/>
      <c r="B52" s="79"/>
      <c r="C52" s="80">
        <v>10</v>
      </c>
      <c r="D52" s="81">
        <f>[5]Tabelas_Consumos!B16</f>
        <v>146213.00855721527</v>
      </c>
      <c r="E52" s="82">
        <f>[5]Tabelas_Consumos!C16</f>
        <v>130767.8468795591</v>
      </c>
      <c r="F52" s="82">
        <f>[5]Tabelas_Consumos!D16</f>
        <v>144555.9320208868</v>
      </c>
      <c r="G52" s="82">
        <f>[5]Tabelas_Consumos!E16</f>
        <v>132991.55104399141</v>
      </c>
      <c r="H52" s="82">
        <f>[5]Tabelas_Consumos!F16</f>
        <v>131967.52580517324</v>
      </c>
      <c r="I52" s="82">
        <f>[5]Tabelas_Consumos!G16</f>
        <v>123843.23081077928</v>
      </c>
      <c r="J52" s="82">
        <f>[5]Tabelas_Consumos!H16</f>
        <v>127201.16788484556</v>
      </c>
      <c r="K52" s="82">
        <f>[5]Tabelas_Consumos!I16</f>
        <v>134825.0943754341</v>
      </c>
      <c r="L52" s="82">
        <f>[5]Tabelas_Consumos!J16</f>
        <v>128389.23173493684</v>
      </c>
      <c r="M52" s="82">
        <f>[5]Tabelas_Consumos!K16</f>
        <v>136916.0721547498</v>
      </c>
      <c r="N52" s="82">
        <f>[5]Tabelas_Consumos!L16</f>
        <v>123438.49333769016</v>
      </c>
      <c r="O52" s="83">
        <f>[5]Tabelas_Consumos!M16</f>
        <v>143244.22021197301</v>
      </c>
      <c r="P52" s="37"/>
    </row>
    <row r="53" spans="1:17" x14ac:dyDescent="0.25">
      <c r="A53" s="79"/>
      <c r="B53" s="79"/>
      <c r="C53" s="80">
        <v>11</v>
      </c>
      <c r="D53" s="81">
        <f>[3]Tabelas_Consumos!B16</f>
        <v>150015.95421679007</v>
      </c>
      <c r="E53" s="82">
        <f>[3]Tabelas_Consumos!C16</f>
        <v>129443.63808783038</v>
      </c>
      <c r="F53" s="82">
        <f>[3]Tabelas_Consumos!D16</f>
        <v>139735.14433080729</v>
      </c>
      <c r="G53" s="82">
        <f>[3]Tabelas_Consumos!E16</f>
        <v>128495.02133175053</v>
      </c>
      <c r="H53" s="82">
        <f>[3]Tabelas_Consumos!F16</f>
        <v>125640.05800207907</v>
      </c>
      <c r="I53" s="82">
        <f>[3]Tabelas_Consumos!G16</f>
        <v>115733.84071722592</v>
      </c>
      <c r="J53" s="82">
        <f>[3]Tabelas_Consumos!H16</f>
        <v>138841.00520921731</v>
      </c>
      <c r="K53" s="82">
        <f>[3]Tabelas_Consumos!I16</f>
        <v>131711.52810503606</v>
      </c>
      <c r="L53" s="82">
        <f>[3]Tabelas_Consumos!J16</f>
        <v>130233.22299183604</v>
      </c>
      <c r="M53" s="82">
        <f>[3]Tabelas_Consumos!K16</f>
        <v>128678.06952045469</v>
      </c>
      <c r="N53" s="82">
        <f>[3]Tabelas_Consumos!L16</f>
        <v>129225.61789198764</v>
      </c>
      <c r="O53" s="83">
        <f>[3]Tabelas_Consumos!M16</f>
        <v>134463.01604962884</v>
      </c>
      <c r="P53" s="37"/>
    </row>
    <row r="54" spans="1:17" ht="15.75" thickBot="1" x14ac:dyDescent="0.3">
      <c r="A54" s="79"/>
      <c r="B54" s="84"/>
      <c r="C54" s="85">
        <v>12</v>
      </c>
      <c r="D54" s="86">
        <f>[3]Tabelas_Consumos!B17</f>
        <v>133777.53196069587</v>
      </c>
      <c r="E54" s="87">
        <f>[3]Tabelas_Consumos!C17</f>
        <v>127949.45974578116</v>
      </c>
      <c r="F54" s="87">
        <f>[3]Tabelas_Consumos!D17</f>
        <v>159157.03824801941</v>
      </c>
      <c r="G54" s="87">
        <f>[3]Tabelas_Consumos!E17</f>
        <v>126542.34972613362</v>
      </c>
      <c r="H54" s="87">
        <f>[3]Tabelas_Consumos!F17</f>
        <v>123452.76761464005</v>
      </c>
      <c r="I54" s="87">
        <f>[3]Tabelas_Consumos!G17</f>
        <v>127052.67340196794</v>
      </c>
      <c r="J54" s="87">
        <f>[3]Tabelas_Consumos!H17</f>
        <v>127727.84481790484</v>
      </c>
      <c r="K54" s="87">
        <f>[3]Tabelas_Consumos!I17</f>
        <v>136852.02737624667</v>
      </c>
      <c r="L54" s="87">
        <f>[3]Tabelas_Consumos!J17</f>
        <v>134536.6344871365</v>
      </c>
      <c r="M54" s="87">
        <f>[3]Tabelas_Consumos!K17</f>
        <v>138139.03667900219</v>
      </c>
      <c r="N54" s="87">
        <f>[3]Tabelas_Consumos!L17</f>
        <v>155739.12646136878</v>
      </c>
      <c r="O54" s="88">
        <f>[3]Tabelas_Consumos!M17</f>
        <v>134925.27196460578</v>
      </c>
      <c r="P54" s="37"/>
    </row>
    <row r="55" spans="1:17" x14ac:dyDescent="0.25">
      <c r="A55" s="79"/>
      <c r="B55" s="74" t="s">
        <v>21</v>
      </c>
      <c r="C55" s="75" t="s">
        <v>18</v>
      </c>
      <c r="D55" s="76">
        <f>[1]Tabelas_Consumos!B35</f>
        <v>72680.782218930544</v>
      </c>
      <c r="E55" s="77">
        <f>[1]Tabelas_Consumos!C35</f>
        <v>66859.89554325903</v>
      </c>
      <c r="F55" s="77">
        <f>[1]Tabelas_Consumos!D35</f>
        <v>54634.771683628758</v>
      </c>
      <c r="G55" s="77">
        <f>[1]Tabelas_Consumos!E35</f>
        <v>39084.584638936954</v>
      </c>
      <c r="H55" s="77">
        <f>[1]Tabelas_Consumos!F35</f>
        <v>41790.44160560413</v>
      </c>
      <c r="I55" s="77">
        <f>[1]Tabelas_Consumos!G35</f>
        <v>70235.085773907442</v>
      </c>
      <c r="J55" s="77">
        <f>[1]Tabelas_Consumos!H35</f>
        <v>114834.3729481567</v>
      </c>
      <c r="K55" s="77">
        <f>[1]Tabelas_Consumos!I35</f>
        <v>119369.94055032027</v>
      </c>
      <c r="L55" s="77">
        <f>[1]Tabelas_Consumos!J35</f>
        <v>104330.85053452717</v>
      </c>
      <c r="M55" s="77">
        <f>[1]Tabelas_Consumos!K35</f>
        <v>75215.409542046851</v>
      </c>
      <c r="N55" s="77">
        <f>[1]Tabelas_Consumos!L35</f>
        <v>73249.546373437828</v>
      </c>
      <c r="O55" s="78">
        <f>[1]Tabelas_Consumos!M35</f>
        <v>74594.027071535369</v>
      </c>
      <c r="P55" s="37"/>
    </row>
    <row r="56" spans="1:17" x14ac:dyDescent="0.25">
      <c r="A56" s="79"/>
      <c r="B56" s="79"/>
      <c r="C56" s="80" t="s">
        <v>19</v>
      </c>
      <c r="D56" s="81">
        <f>[4]Tabelas_Consumos!B35</f>
        <v>82710.631760324919</v>
      </c>
      <c r="E56" s="54">
        <f>[4]Tabelas_Consumos!C35</f>
        <v>74461.075334167341</v>
      </c>
      <c r="F56" s="54">
        <f>[4]Tabelas_Consumos!D35</f>
        <v>73817.494341867408</v>
      </c>
      <c r="G56" s="54">
        <f>[4]Tabelas_Consumos!E35</f>
        <v>63096.926568178787</v>
      </c>
      <c r="H56" s="54">
        <f>[4]Tabelas_Consumos!F35</f>
        <v>72425.523100925318</v>
      </c>
      <c r="I56" s="54">
        <f>[4]Tabelas_Consumos!G35</f>
        <v>102106.58044409135</v>
      </c>
      <c r="J56" s="54">
        <f>[4]Tabelas_Consumos!H35</f>
        <v>128876.07660069615</v>
      </c>
      <c r="K56" s="54">
        <f>[4]Tabelas_Consumos!I35</f>
        <v>141651.24167574741</v>
      </c>
      <c r="L56" s="54">
        <f>[4]Tabelas_Consumos!J35</f>
        <v>119224.49004263975</v>
      </c>
      <c r="M56" s="54">
        <f>[4]Tabelas_Consumos!K35</f>
        <v>76913.517110882865</v>
      </c>
      <c r="N56" s="54">
        <f>[4]Tabelas_Consumos!L35</f>
        <v>67559.45749445603</v>
      </c>
      <c r="O56" s="55">
        <f>[4]Tabelas_Consumos!M35</f>
        <v>90290.406522406905</v>
      </c>
      <c r="P56" s="65"/>
      <c r="Q56" s="19"/>
    </row>
    <row r="57" spans="1:17" x14ac:dyDescent="0.25">
      <c r="A57" s="79"/>
      <c r="B57" s="79"/>
      <c r="C57" s="80" t="s">
        <v>20</v>
      </c>
      <c r="D57" s="81">
        <f>[4]Tabelas_Consumos!B36</f>
        <v>81538.180583226043</v>
      </c>
      <c r="E57" s="54">
        <f>[4]Tabelas_Consumos!C36</f>
        <v>67425.910865990096</v>
      </c>
      <c r="F57" s="54">
        <f>[4]Tabelas_Consumos!D36</f>
        <v>93748.208196884574</v>
      </c>
      <c r="G57" s="54">
        <f>[4]Tabelas_Consumos!E36</f>
        <v>85789.047513720405</v>
      </c>
      <c r="H57" s="54">
        <f>[4]Tabelas_Consumos!F36</f>
        <v>78924.601152306815</v>
      </c>
      <c r="I57" s="54">
        <f>[4]Tabelas_Consumos!G36</f>
        <v>116195.12179374056</v>
      </c>
      <c r="J57" s="54">
        <f>[4]Tabelas_Consumos!H36</f>
        <v>142398.80861637159</v>
      </c>
      <c r="K57" s="54">
        <f>[4]Tabelas_Consumos!I36</f>
        <v>132895.85290239714</v>
      </c>
      <c r="L57" s="54">
        <f>[4]Tabelas_Consumos!J36</f>
        <v>91919.900552149076</v>
      </c>
      <c r="M57" s="54">
        <f>[4]Tabelas_Consumos!K36</f>
        <v>100807.17516798031</v>
      </c>
      <c r="N57" s="54">
        <f>[4]Tabelas_Consumos!L36</f>
        <v>79895.463180285398</v>
      </c>
      <c r="O57" s="55">
        <f>[4]Tabelas_Consumos!M36</f>
        <v>90027.883668210663</v>
      </c>
      <c r="P57" s="62"/>
      <c r="Q57" s="19"/>
    </row>
    <row r="58" spans="1:17" x14ac:dyDescent="0.25">
      <c r="A58" s="79"/>
      <c r="B58" s="79"/>
      <c r="C58" s="80">
        <v>10</v>
      </c>
      <c r="D58" s="81">
        <f>[5]Tabelas_Consumos!B35</f>
        <v>87537.348146829783</v>
      </c>
      <c r="E58" s="54">
        <f>[5]Tabelas_Consumos!C35</f>
        <v>73717.073515535521</v>
      </c>
      <c r="F58" s="54">
        <f>[5]Tabelas_Consumos!D35</f>
        <v>101631.62716054257</v>
      </c>
      <c r="G58" s="54">
        <f>[5]Tabelas_Consumos!E35</f>
        <v>96368.344433453458</v>
      </c>
      <c r="H58" s="54">
        <f>[5]Tabelas_Consumos!F35</f>
        <v>99561.751812483199</v>
      </c>
      <c r="I58" s="54">
        <f>[5]Tabelas_Consumos!G35</f>
        <v>116555.6375987557</v>
      </c>
      <c r="J58" s="54">
        <f>[5]Tabelas_Consumos!H35</f>
        <v>161098.63375615171</v>
      </c>
      <c r="K58" s="54">
        <f>[5]Tabelas_Consumos!I35</f>
        <v>168555.70220596343</v>
      </c>
      <c r="L58" s="54">
        <f>[5]Tabelas_Consumos!J35</f>
        <v>113138.42343703382</v>
      </c>
      <c r="M58" s="54">
        <f>[5]Tabelas_Consumos!K35</f>
        <v>72605.788126513988</v>
      </c>
      <c r="N58" s="54">
        <f>[5]Tabelas_Consumos!L35</f>
        <v>62892.787302829252</v>
      </c>
      <c r="O58" s="55">
        <f>[5]Tabelas_Consumos!M35</f>
        <v>82432.988703297451</v>
      </c>
      <c r="P58" s="65"/>
      <c r="Q58" s="19"/>
    </row>
    <row r="59" spans="1:17" x14ac:dyDescent="0.25">
      <c r="A59" s="79"/>
      <c r="B59" s="79"/>
      <c r="C59" s="80">
        <v>11</v>
      </c>
      <c r="D59" s="81">
        <f>[3]Tabelas_Consumos!B35</f>
        <v>75261.80113976862</v>
      </c>
      <c r="E59" s="54">
        <f>[3]Tabelas_Consumos!C35</f>
        <v>53813.18689699204</v>
      </c>
      <c r="F59" s="54">
        <f>[3]Tabelas_Consumos!D35</f>
        <v>68765.723398249349</v>
      </c>
      <c r="G59" s="54">
        <f>[3]Tabelas_Consumos!E35</f>
        <v>72344.153473920334</v>
      </c>
      <c r="H59" s="54">
        <f>[3]Tabelas_Consumos!F35</f>
        <v>77765.692287899379</v>
      </c>
      <c r="I59" s="54">
        <f>[3]Tabelas_Consumos!G35</f>
        <v>81294.607802990897</v>
      </c>
      <c r="J59" s="54">
        <f>[3]Tabelas_Consumos!H35</f>
        <v>105431.35105604967</v>
      </c>
      <c r="K59" s="54">
        <f>[3]Tabelas_Consumos!I35</f>
        <v>89050.57669344313</v>
      </c>
      <c r="L59" s="54">
        <f>[3]Tabelas_Consumos!J35</f>
        <v>76112.226982569075</v>
      </c>
      <c r="M59" s="54">
        <f>[3]Tabelas_Consumos!K35</f>
        <v>61034.828464313527</v>
      </c>
      <c r="N59" s="54">
        <f>[3]Tabelas_Consumos!L35</f>
        <v>37597.62075932166</v>
      </c>
      <c r="O59" s="55">
        <f>[3]Tabelas_Consumos!M35</f>
        <v>28605.900352011638</v>
      </c>
      <c r="P59" s="65"/>
      <c r="Q59" s="19"/>
    </row>
    <row r="60" spans="1:17" ht="15.75" thickBot="1" x14ac:dyDescent="0.3">
      <c r="A60" s="79"/>
      <c r="B60" s="84"/>
      <c r="C60" s="85">
        <v>12</v>
      </c>
      <c r="D60" s="86">
        <f>[3]Tabelas_Consumos!B36</f>
        <v>33096.102576553181</v>
      </c>
      <c r="E60" s="59">
        <f>[3]Tabelas_Consumos!C36</f>
        <v>57494.130813979085</v>
      </c>
      <c r="F60" s="59">
        <f>[3]Tabelas_Consumos!D36</f>
        <v>79346.511025518266</v>
      </c>
      <c r="G60" s="59">
        <f>[3]Tabelas_Consumos!E36</f>
        <v>84157.079301883947</v>
      </c>
      <c r="H60" s="59">
        <f>[3]Tabelas_Consumos!F36</f>
        <v>128030.58759126261</v>
      </c>
      <c r="I60" s="59">
        <f>[3]Tabelas_Consumos!G36</f>
        <v>145470.15700288635</v>
      </c>
      <c r="J60" s="59">
        <f>[3]Tabelas_Consumos!H36</f>
        <v>153850.76893798754</v>
      </c>
      <c r="K60" s="59">
        <f>[3]Tabelas_Consumos!I36</f>
        <v>155124.03013527708</v>
      </c>
      <c r="L60" s="59">
        <f>[3]Tabelas_Consumos!J36</f>
        <v>159583.15679684366</v>
      </c>
      <c r="M60" s="59">
        <f>[3]Tabelas_Consumos!K36</f>
        <v>112365.37581356632</v>
      </c>
      <c r="N60" s="59">
        <f>[3]Tabelas_Consumos!L36</f>
        <v>89296.298693724122</v>
      </c>
      <c r="O60" s="60">
        <f>[3]Tabelas_Consumos!M36</f>
        <v>39503.335890452938</v>
      </c>
      <c r="P60" s="65"/>
      <c r="Q60" s="19"/>
    </row>
    <row r="61" spans="1:17" x14ac:dyDescent="0.25">
      <c r="A61" s="79"/>
      <c r="B61" s="74" t="s">
        <v>22</v>
      </c>
      <c r="C61" s="75" t="s">
        <v>18</v>
      </c>
      <c r="D61" s="76">
        <f>[1]Tabelas_Consumos!B37</f>
        <v>217210.02406967728</v>
      </c>
      <c r="E61" s="49">
        <f>[1]Tabelas_Consumos!C37</f>
        <v>178614.12836928578</v>
      </c>
      <c r="F61" s="49">
        <f>[1]Tabelas_Consumos!D37</f>
        <v>76935.093489080187</v>
      </c>
      <c r="G61" s="49">
        <f>[1]Tabelas_Consumos!E37</f>
        <v>18086.720773724825</v>
      </c>
      <c r="H61" s="49">
        <f>[1]Tabelas_Consumos!F37</f>
        <v>0</v>
      </c>
      <c r="I61" s="49">
        <f>[1]Tabelas_Consumos!G37</f>
        <v>0</v>
      </c>
      <c r="J61" s="49">
        <f>[1]Tabelas_Consumos!H37</f>
        <v>-8.8746591442031786E-2</v>
      </c>
      <c r="K61" s="49">
        <f>[1]Tabelas_Consumos!I37</f>
        <v>0</v>
      </c>
      <c r="L61" s="49">
        <f>[1]Tabelas_Consumos!J37</f>
        <v>0</v>
      </c>
      <c r="M61" s="49">
        <f>[1]Tabelas_Consumos!K37</f>
        <v>0</v>
      </c>
      <c r="N61" s="49">
        <f>[1]Tabelas_Consumos!L37</f>
        <v>47905.02581882228</v>
      </c>
      <c r="O61" s="50">
        <f>[1]Tabelas_Consumos!M37</f>
        <v>150270.17770346755</v>
      </c>
      <c r="P61" s="65"/>
      <c r="Q61" s="19"/>
    </row>
    <row r="62" spans="1:17" x14ac:dyDescent="0.25">
      <c r="A62" s="79"/>
      <c r="B62" s="79"/>
      <c r="C62" s="80" t="s">
        <v>19</v>
      </c>
      <c r="D62" s="81">
        <f>[1]Tabelas_Consumos!B38</f>
        <v>153066.16323704773</v>
      </c>
      <c r="E62" s="54">
        <f>[1]Tabelas_Consumos!C38</f>
        <v>120741.73466298138</v>
      </c>
      <c r="F62" s="54">
        <f>[1]Tabelas_Consumos!D38</f>
        <v>78126.933898869916</v>
      </c>
      <c r="G62" s="54">
        <f>[1]Tabelas_Consumos!E38</f>
        <v>9435.2762123677894</v>
      </c>
      <c r="H62" s="54">
        <f>[1]Tabelas_Consumos!F38</f>
        <v>0</v>
      </c>
      <c r="I62" s="54">
        <f>[1]Tabelas_Consumos!G38</f>
        <v>0</v>
      </c>
      <c r="J62" s="54">
        <f>[1]Tabelas_Consumos!H38</f>
        <v>0</v>
      </c>
      <c r="K62" s="54">
        <f>[1]Tabelas_Consumos!I38</f>
        <v>0</v>
      </c>
      <c r="L62" s="54">
        <f>[1]Tabelas_Consumos!J38</f>
        <v>0</v>
      </c>
      <c r="M62" s="54">
        <f>[1]Tabelas_Consumos!K38</f>
        <v>0</v>
      </c>
      <c r="N62" s="54">
        <f>[1]Tabelas_Consumos!L38</f>
        <v>91858.736523218278</v>
      </c>
      <c r="O62" s="55">
        <f>[1]Tabelas_Consumos!M38</f>
        <v>183578.15404298942</v>
      </c>
      <c r="P62" s="65"/>
      <c r="Q62" s="19"/>
    </row>
    <row r="63" spans="1:17" x14ac:dyDescent="0.25">
      <c r="A63" s="79"/>
      <c r="B63" s="79"/>
      <c r="C63" s="80" t="s">
        <v>20</v>
      </c>
      <c r="D63" s="81">
        <f>[4]Tabelas_Consumos!B38</f>
        <v>226545.46553327411</v>
      </c>
      <c r="E63" s="54">
        <f>[4]Tabelas_Consumos!C38</f>
        <v>147573.38022015718</v>
      </c>
      <c r="F63" s="54">
        <f>[4]Tabelas_Consumos!D38</f>
        <v>49131.64707028347</v>
      </c>
      <c r="G63" s="54">
        <f>[4]Tabelas_Consumos!E38</f>
        <v>7021.8405730390004</v>
      </c>
      <c r="H63" s="54">
        <f>[4]Tabelas_Consumos!F38</f>
        <v>0</v>
      </c>
      <c r="I63" s="54">
        <f>[4]Tabelas_Consumos!G38</f>
        <v>0</v>
      </c>
      <c r="J63" s="54">
        <f>[4]Tabelas_Consumos!H38</f>
        <v>0</v>
      </c>
      <c r="K63" s="54">
        <f>[4]Tabelas_Consumos!I38</f>
        <v>0</v>
      </c>
      <c r="L63" s="54">
        <f>[4]Tabelas_Consumos!J38</f>
        <v>0</v>
      </c>
      <c r="M63" s="54">
        <f>[4]Tabelas_Consumos!K38</f>
        <v>0</v>
      </c>
      <c r="N63" s="54">
        <f>[4]Tabelas_Consumos!L38</f>
        <v>35679.16117078274</v>
      </c>
      <c r="O63" s="55">
        <f>[4]Tabelas_Consumos!M38</f>
        <v>148805.59677716807</v>
      </c>
      <c r="P63" s="65"/>
      <c r="Q63" s="19"/>
    </row>
    <row r="64" spans="1:17" x14ac:dyDescent="0.25">
      <c r="A64" s="79"/>
      <c r="B64" s="79"/>
      <c r="C64" s="80">
        <v>10</v>
      </c>
      <c r="D64" s="81">
        <f>[5]Tabelas_Consumos!B37</f>
        <v>177403.63066994239</v>
      </c>
      <c r="E64" s="54">
        <f>[5]Tabelas_Consumos!C37</f>
        <v>173883.40008417214</v>
      </c>
      <c r="F64" s="54">
        <f>[5]Tabelas_Consumos!D37</f>
        <v>158428.39409871685</v>
      </c>
      <c r="G64" s="54">
        <f>[5]Tabelas_Consumos!E37</f>
        <v>16905.769992250735</v>
      </c>
      <c r="H64" s="54">
        <f>[5]Tabelas_Consumos!F37</f>
        <v>0</v>
      </c>
      <c r="I64" s="54">
        <f>[5]Tabelas_Consumos!G37</f>
        <v>0</v>
      </c>
      <c r="J64" s="54">
        <f>[5]Tabelas_Consumos!H37</f>
        <v>0</v>
      </c>
      <c r="K64" s="54">
        <f>[5]Tabelas_Consumos!I37</f>
        <v>0</v>
      </c>
      <c r="L64" s="54">
        <f>[5]Tabelas_Consumos!J37</f>
        <v>0</v>
      </c>
      <c r="M64" s="54">
        <f>[5]Tabelas_Consumos!K37</f>
        <v>0</v>
      </c>
      <c r="N64" s="54">
        <f>[5]Tabelas_Consumos!L37</f>
        <v>55386.367483866903</v>
      </c>
      <c r="O64" s="55">
        <f>[5]Tabelas_Consumos!M37</f>
        <v>184686.12577917159</v>
      </c>
      <c r="P64" s="65"/>
      <c r="Q64" s="19"/>
    </row>
    <row r="65" spans="1:17" x14ac:dyDescent="0.25">
      <c r="A65" s="79"/>
      <c r="B65" s="79"/>
      <c r="C65" s="80">
        <v>11</v>
      </c>
      <c r="D65" s="81">
        <f>[3]Tabelas_Consumos!B37</f>
        <v>175359.64063288199</v>
      </c>
      <c r="E65" s="54">
        <f>[3]Tabelas_Consumos!C37</f>
        <v>130098.56821283601</v>
      </c>
      <c r="F65" s="54">
        <f>[3]Tabelas_Consumos!D37</f>
        <v>74613.695928762827</v>
      </c>
      <c r="G65" s="54">
        <f>[3]Tabelas_Consumos!E37</f>
        <v>74613.695928762827</v>
      </c>
      <c r="H65" s="54">
        <f>[3]Tabelas_Consumos!F37</f>
        <v>0</v>
      </c>
      <c r="I65" s="54">
        <f>[3]Tabelas_Consumos!G37</f>
        <v>0</v>
      </c>
      <c r="J65" s="54">
        <f>[3]Tabelas_Consumos!H37</f>
        <v>0</v>
      </c>
      <c r="K65" s="54">
        <f>[3]Tabelas_Consumos!I37</f>
        <v>0</v>
      </c>
      <c r="L65" s="54">
        <f>[3]Tabelas_Consumos!J37</f>
        <v>0</v>
      </c>
      <c r="M65" s="54">
        <f>[3]Tabelas_Consumos!K37</f>
        <v>0</v>
      </c>
      <c r="N65" s="54">
        <f>[3]Tabelas_Consumos!L37</f>
        <v>64750.655483303737</v>
      </c>
      <c r="O65" s="55">
        <f>[3]Tabelas_Consumos!M37</f>
        <v>121437.37337088001</v>
      </c>
      <c r="P65" s="65"/>
      <c r="Q65" s="19"/>
    </row>
    <row r="66" spans="1:17" ht="15.75" thickBot="1" x14ac:dyDescent="0.3">
      <c r="A66" s="84"/>
      <c r="B66" s="84"/>
      <c r="C66" s="85">
        <v>12</v>
      </c>
      <c r="D66" s="86">
        <f>[3]Tabelas_Consumos!B38</f>
        <v>136786.75078460801</v>
      </c>
      <c r="E66" s="59">
        <f>[3]Tabelas_Consumos!C38</f>
        <v>231563.08568567244</v>
      </c>
      <c r="F66" s="59">
        <f>[3]Tabelas_Consumos!D38</f>
        <v>63574.141962700647</v>
      </c>
      <c r="G66" s="59">
        <f>[3]Tabelas_Consumos!E38</f>
        <v>37933.065713717588</v>
      </c>
      <c r="H66" s="59">
        <f>[3]Tabelas_Consumos!F38</f>
        <v>8672.016307139409</v>
      </c>
      <c r="I66" s="59">
        <f>[3]Tabelas_Consumos!G38</f>
        <v>0</v>
      </c>
      <c r="J66" s="59">
        <f>[3]Tabelas_Consumos!H38</f>
        <v>0</v>
      </c>
      <c r="K66" s="59">
        <f>[3]Tabelas_Consumos!I38</f>
        <v>0</v>
      </c>
      <c r="L66" s="59">
        <f>[3]Tabelas_Consumos!J38</f>
        <v>0</v>
      </c>
      <c r="M66" s="59">
        <f>[3]Tabelas_Consumos!K38</f>
        <v>11582.122297358012</v>
      </c>
      <c r="N66" s="59">
        <f>[3]Tabelas_Consumos!L38</f>
        <v>95050</v>
      </c>
      <c r="O66" s="60">
        <f>[3]Tabelas_Consumos!M38</f>
        <v>135612.40683544317</v>
      </c>
      <c r="P66" s="65"/>
      <c r="Q66" s="19"/>
    </row>
    <row r="67" spans="1:17" x14ac:dyDescent="0.25">
      <c r="A67" s="37"/>
      <c r="B67" s="37"/>
      <c r="C67" s="37"/>
      <c r="D67" s="37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19"/>
    </row>
    <row r="68" spans="1:17" x14ac:dyDescent="0.25">
      <c r="A68" s="37"/>
      <c r="B68" s="37"/>
      <c r="C68" s="37"/>
      <c r="D68" s="37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19"/>
    </row>
    <row r="69" spans="1:17" x14ac:dyDescent="0.25"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</sheetData>
  <sheetProtection password="A926" sheet="1" formatCells="0" formatColumns="0" formatRows="0" insertColumns="0" insertRows="0" insertHyperlinks="0" deleteColumns="0" deleteRows="0" sort="0" autoFilter="0" pivotTables="0"/>
  <mergeCells count="15">
    <mergeCell ref="A49:A66"/>
    <mergeCell ref="B49:B54"/>
    <mergeCell ref="B55:B60"/>
    <mergeCell ref="B61:B66"/>
    <mergeCell ref="A3:O3"/>
    <mergeCell ref="A5:A22"/>
    <mergeCell ref="B5:B10"/>
    <mergeCell ref="B11:B16"/>
    <mergeCell ref="B17:B22"/>
    <mergeCell ref="A25:O25"/>
    <mergeCell ref="A27:A44"/>
    <mergeCell ref="B27:B32"/>
    <mergeCell ref="B33:B38"/>
    <mergeCell ref="B39:B44"/>
    <mergeCell ref="A47:O47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B1:BR214"/>
  <sheetViews>
    <sheetView tabSelected="1" topLeftCell="L1" zoomScaleNormal="100" workbookViewId="0">
      <selection activeCell="N16" sqref="N16"/>
    </sheetView>
  </sheetViews>
  <sheetFormatPr defaultRowHeight="15" x14ac:dyDescent="0.25"/>
  <cols>
    <col min="1" max="3" width="9.140625" style="1"/>
    <col min="4" max="4" width="9.140625" style="1" hidden="1" customWidth="1"/>
    <col min="5" max="5" width="14.7109375" style="1" bestFit="1" customWidth="1"/>
    <col min="6" max="6" width="9.28515625" style="1" bestFit="1" customWidth="1"/>
    <col min="7" max="7" width="12" style="1" hidden="1" customWidth="1"/>
    <col min="8" max="16" width="12" style="1" customWidth="1"/>
    <col min="17" max="17" width="10.140625" style="1" bestFit="1" customWidth="1"/>
    <col min="18" max="18" width="9.28515625" style="1" customWidth="1"/>
    <col min="19" max="19" width="9.28515625" style="1" bestFit="1" customWidth="1"/>
    <col min="20" max="20" width="9.28515625" style="1" customWidth="1"/>
    <col min="21" max="21" width="9.28515625" style="2" customWidth="1"/>
    <col min="22" max="25" width="9.140625" style="1"/>
    <col min="26" max="27" width="9.140625" style="1" customWidth="1"/>
    <col min="28" max="29" width="9.140625" style="1"/>
    <col min="30" max="30" width="9.140625" style="1" customWidth="1"/>
    <col min="31" max="31" width="11.7109375" style="19" bestFit="1" customWidth="1"/>
    <col min="32" max="32" width="9.140625" style="2"/>
    <col min="33" max="35" width="9.140625" style="1"/>
    <col min="36" max="36" width="11.7109375" style="1" bestFit="1" customWidth="1"/>
    <col min="37" max="43" width="9.140625" style="1"/>
    <col min="44" max="44" width="9.140625" style="2"/>
    <col min="45" max="48" width="9.140625" style="19"/>
    <col min="49" max="49" width="14.5703125" style="19" bestFit="1" customWidth="1"/>
    <col min="50" max="53" width="9.140625" style="1"/>
    <col min="54" max="54" width="10.28515625" style="1" customWidth="1"/>
    <col min="55" max="62" width="9.140625" style="1"/>
    <col min="63" max="64" width="10.140625" style="1" bestFit="1" customWidth="1"/>
    <col min="65" max="69" width="9.140625" style="1"/>
    <col min="70" max="70" width="9.140625" style="2"/>
    <col min="71" max="16384" width="9.140625" style="1"/>
  </cols>
  <sheetData>
    <row r="1" spans="2:68" ht="15" customHeight="1" x14ac:dyDescent="0.25">
      <c r="B1" s="90"/>
      <c r="C1" s="90"/>
      <c r="D1" s="90"/>
      <c r="E1" s="91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2"/>
      <c r="V1" s="93"/>
      <c r="W1" s="35" t="s">
        <v>27</v>
      </c>
      <c r="X1" s="35"/>
      <c r="Y1" s="35"/>
      <c r="Z1" s="35"/>
      <c r="AA1" s="35"/>
      <c r="AB1" s="35"/>
      <c r="AC1" s="35"/>
      <c r="AD1" s="35"/>
      <c r="AE1" s="93"/>
      <c r="AH1" s="94" t="s">
        <v>28</v>
      </c>
      <c r="AI1" s="94"/>
      <c r="AJ1" s="94"/>
      <c r="AK1" s="94"/>
      <c r="AL1" s="94"/>
      <c r="AM1" s="94"/>
      <c r="AN1" s="94"/>
      <c r="AO1" s="94"/>
      <c r="AP1" s="94"/>
      <c r="AT1" s="94" t="s">
        <v>29</v>
      </c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</row>
    <row r="2" spans="2:68" ht="15.75" customHeight="1" thickBot="1" x14ac:dyDescent="0.3">
      <c r="E2" s="95"/>
      <c r="S2" s="19"/>
      <c r="T2" s="19"/>
      <c r="V2" s="93"/>
      <c r="W2" s="35"/>
      <c r="X2" s="35"/>
      <c r="Y2" s="35"/>
      <c r="Z2" s="35"/>
      <c r="AA2" s="35"/>
      <c r="AB2" s="35"/>
      <c r="AC2" s="35"/>
      <c r="AD2" s="35"/>
      <c r="AE2" s="93"/>
      <c r="AH2" s="94"/>
      <c r="AI2" s="94"/>
      <c r="AJ2" s="94"/>
      <c r="AK2" s="94"/>
      <c r="AL2" s="94"/>
      <c r="AM2" s="94"/>
      <c r="AN2" s="94"/>
      <c r="AO2" s="94"/>
      <c r="AP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</row>
    <row r="3" spans="2:68" ht="15.75" thickBot="1" x14ac:dyDescent="0.3">
      <c r="B3" s="96" t="s">
        <v>30</v>
      </c>
      <c r="C3" s="96" t="s">
        <v>31</v>
      </c>
      <c r="D3" s="97" t="s">
        <v>32</v>
      </c>
      <c r="E3" s="98" t="s">
        <v>33</v>
      </c>
      <c r="F3" s="99" t="s">
        <v>34</v>
      </c>
      <c r="G3" s="97" t="s">
        <v>35</v>
      </c>
      <c r="H3" s="100" t="s">
        <v>36</v>
      </c>
      <c r="I3" s="101"/>
      <c r="J3" s="101"/>
      <c r="K3" s="101"/>
      <c r="L3" s="101"/>
      <c r="M3" s="101"/>
      <c r="N3" s="101"/>
      <c r="O3" s="101"/>
      <c r="P3" s="102"/>
      <c r="Q3" s="103" t="s">
        <v>37</v>
      </c>
      <c r="R3" s="98" t="s">
        <v>38</v>
      </c>
      <c r="S3" s="103" t="s">
        <v>39</v>
      </c>
      <c r="T3" s="104"/>
      <c r="U3" s="105"/>
      <c r="V3" s="19"/>
      <c r="X3" s="106"/>
      <c r="Y3" s="106"/>
      <c r="Z3" s="106"/>
      <c r="AT3" s="96" t="s">
        <v>30</v>
      </c>
      <c r="AU3" s="96" t="s">
        <v>31</v>
      </c>
      <c r="AV3" s="103" t="s">
        <v>39</v>
      </c>
      <c r="AW3" s="98" t="s">
        <v>33</v>
      </c>
    </row>
    <row r="4" spans="2:68" ht="15.75" customHeight="1" thickBot="1" x14ac:dyDescent="0.3">
      <c r="B4" s="107"/>
      <c r="C4" s="107"/>
      <c r="D4" s="108"/>
      <c r="E4" s="109"/>
      <c r="F4" s="110"/>
      <c r="G4" s="111"/>
      <c r="H4" s="112" t="s">
        <v>17</v>
      </c>
      <c r="I4" s="113" t="s">
        <v>40</v>
      </c>
      <c r="J4" s="114" t="s">
        <v>41</v>
      </c>
      <c r="K4" s="115" t="s">
        <v>21</v>
      </c>
      <c r="L4" s="116" t="s">
        <v>40</v>
      </c>
      <c r="M4" s="117" t="s">
        <v>42</v>
      </c>
      <c r="N4" s="118" t="s">
        <v>22</v>
      </c>
      <c r="O4" s="119" t="s">
        <v>40</v>
      </c>
      <c r="P4" s="120" t="s">
        <v>43</v>
      </c>
      <c r="Q4" s="121"/>
      <c r="R4" s="109"/>
      <c r="S4" s="122"/>
      <c r="T4" s="104"/>
      <c r="U4" s="105"/>
      <c r="X4" s="37" t="s">
        <v>31</v>
      </c>
      <c r="Y4" s="123" t="s">
        <v>44</v>
      </c>
      <c r="Z4" s="37" t="s">
        <v>45</v>
      </c>
      <c r="AB4" s="124" t="s">
        <v>46</v>
      </c>
      <c r="AH4" s="37" t="s">
        <v>30</v>
      </c>
      <c r="AI4" s="37" t="s">
        <v>37</v>
      </c>
      <c r="AJ4" s="65" t="s">
        <v>47</v>
      </c>
      <c r="AT4" s="107"/>
      <c r="AU4" s="107"/>
      <c r="AV4" s="122"/>
      <c r="AW4" s="109"/>
    </row>
    <row r="5" spans="2:68" ht="15" customHeight="1" x14ac:dyDescent="0.25">
      <c r="B5" s="125">
        <v>2007</v>
      </c>
      <c r="C5" s="126" t="s">
        <v>48</v>
      </c>
      <c r="D5" s="127"/>
      <c r="E5" s="128">
        <v>750000</v>
      </c>
      <c r="F5" s="129">
        <v>33909</v>
      </c>
      <c r="G5" s="129">
        <f>D5/F5</f>
        <v>0</v>
      </c>
      <c r="H5" s="130">
        <f>'[6]Mensais 07-12 MOD''s'!D5</f>
        <v>123023.90638554505</v>
      </c>
      <c r="I5" s="131">
        <f>H5/E5</f>
        <v>0.16403187518072673</v>
      </c>
      <c r="J5" s="130">
        <f>H5/F5</f>
        <v>3.6280605852589298</v>
      </c>
      <c r="K5" s="132">
        <f>'[6]Mensais 07-12 MOD''s'!D$11</f>
        <v>94317.300621005721</v>
      </c>
      <c r="L5" s="133">
        <f>K5/E5</f>
        <v>0.12575640082800763</v>
      </c>
      <c r="M5" s="132">
        <f t="shared" ref="M5:M68" si="0">K5/F5</f>
        <v>2.7814828104929581</v>
      </c>
      <c r="N5" s="134">
        <f>'[6]Mensais 07-12 MOD''s'!D$17</f>
        <v>121069.48375741333</v>
      </c>
      <c r="O5" s="135">
        <f>N5/E5</f>
        <v>0.16142597834321776</v>
      </c>
      <c r="P5" s="134">
        <f t="shared" ref="P5:P68" si="1">N5/F5</f>
        <v>3.5704233022918199</v>
      </c>
      <c r="Q5" s="129">
        <f>SUM('[6]Mensais 07-12 MOD''s'!D5,'[6]Mensais 07-12 MOD''s'!D11,'[6]Mensais 07-12 MOD''s'!D17)</f>
        <v>338410.69076396408</v>
      </c>
      <c r="R5" s="128">
        <f>Q5/E5</f>
        <v>0.45121425435195212</v>
      </c>
      <c r="S5" s="136">
        <f t="shared" ref="S5:S68" si="2">Q5/F5</f>
        <v>9.9799666980437074</v>
      </c>
      <c r="T5" s="137"/>
      <c r="U5" s="138"/>
      <c r="X5" s="65" t="s">
        <v>4</v>
      </c>
      <c r="Y5" s="139">
        <f>AVERAGE(R5,R17,R29,R41,R53,R65)</f>
        <v>0.324932069263073</v>
      </c>
      <c r="Z5" s="139">
        <f>AVERAGE(S5,S17,S29,S41,S53,S65)</f>
        <v>7.0444132182828207</v>
      </c>
      <c r="AB5" s="140" t="s">
        <v>49</v>
      </c>
      <c r="AH5" s="37">
        <v>2007</v>
      </c>
      <c r="AI5" s="141">
        <f>SUM(S5:S16)</f>
        <v>82.726885982199889</v>
      </c>
      <c r="AJ5" s="139">
        <f>SUM(E5:E16)</f>
        <v>8671234.1999999993</v>
      </c>
      <c r="AT5" s="125">
        <v>2007</v>
      </c>
      <c r="AU5" s="126" t="s">
        <v>48</v>
      </c>
      <c r="AV5" s="142">
        <f t="shared" ref="AV5:AV68" si="3">S5</f>
        <v>9.9799666980437074</v>
      </c>
      <c r="AW5" s="143">
        <f t="shared" ref="AW5:AW68" si="4">E5</f>
        <v>750000</v>
      </c>
    </row>
    <row r="6" spans="2:68" ht="17.25" x14ac:dyDescent="0.25">
      <c r="B6" s="144"/>
      <c r="C6" s="145" t="s">
        <v>50</v>
      </c>
      <c r="D6" s="146">
        <f>[7]Folha1!$I$46</f>
        <v>0</v>
      </c>
      <c r="E6" s="147">
        <f>[7]Folha1!$I$53</f>
        <v>681889</v>
      </c>
      <c r="F6" s="147">
        <f>[7]Folha1!$I$56</f>
        <v>33909</v>
      </c>
      <c r="G6" s="146">
        <f t="shared" ref="G6:G69" si="5">D6/F6</f>
        <v>0</v>
      </c>
      <c r="H6" s="148">
        <f>'[6]Mensais 07-12 MOD''s'!E5</f>
        <v>105803.47867990425</v>
      </c>
      <c r="I6" s="149">
        <f>H6/E6</f>
        <v>0.15516231920430487</v>
      </c>
      <c r="J6" s="148">
        <f t="shared" ref="J6:J69" si="6">H6/F6</f>
        <v>3.1202181922175307</v>
      </c>
      <c r="K6" s="150">
        <f>'[6]Mensais 07-12 MOD''s'!E$11</f>
        <v>73482.562446293887</v>
      </c>
      <c r="L6" s="151">
        <f>K6/E6</f>
        <v>0.10776323191354295</v>
      </c>
      <c r="M6" s="150">
        <f t="shared" si="0"/>
        <v>2.1670518872952278</v>
      </c>
      <c r="N6" s="152">
        <f>'[6]Mensais 07-12 MOD''s'!E$17</f>
        <v>77612.993710124487</v>
      </c>
      <c r="O6" s="153">
        <f>N6/E6</f>
        <v>0.11382056861178944</v>
      </c>
      <c r="P6" s="152">
        <f t="shared" si="1"/>
        <v>2.2888611787467776</v>
      </c>
      <c r="Q6" s="147">
        <f>SUM('[6]Mensais 07-12 MOD''s'!E5,'[6]Mensais 07-12 MOD''s'!E11,'[6]Mensais 07-12 MOD''s'!E17)</f>
        <v>256899.03483632262</v>
      </c>
      <c r="R6" s="147">
        <f t="shared" ref="R6:R69" si="7">Q6/E6</f>
        <v>0.37674611972963729</v>
      </c>
      <c r="S6" s="154">
        <f t="shared" si="2"/>
        <v>7.5761312582595366</v>
      </c>
      <c r="T6" s="155"/>
      <c r="U6" s="138"/>
      <c r="X6" s="37" t="s">
        <v>5</v>
      </c>
      <c r="Y6" s="139">
        <f t="shared" ref="Y6:Z16" si="8">AVERAGE(R6,R18,R30,R42,R54,R66)</f>
        <v>0.31070872323077975</v>
      </c>
      <c r="Z6" s="139">
        <f t="shared" si="8"/>
        <v>6.2515539290975761</v>
      </c>
      <c r="AB6" s="1" t="s">
        <v>51</v>
      </c>
      <c r="AG6" s="156"/>
      <c r="AH6" s="37">
        <v>2008</v>
      </c>
      <c r="AI6" s="141">
        <f>SUM(S17:S28)</f>
        <v>74.062385320465125</v>
      </c>
      <c r="AJ6" s="141">
        <f>SUM(E17:E28)</f>
        <v>8684117.5500000007</v>
      </c>
      <c r="AK6" s="156"/>
      <c r="AT6" s="144"/>
      <c r="AU6" s="145" t="s">
        <v>50</v>
      </c>
      <c r="AV6" s="157">
        <f t="shared" si="3"/>
        <v>7.5761312582595366</v>
      </c>
      <c r="AW6" s="154">
        <f t="shared" si="4"/>
        <v>681889</v>
      </c>
    </row>
    <row r="7" spans="2:68" x14ac:dyDescent="0.25">
      <c r="B7" s="144"/>
      <c r="C7" s="145" t="s">
        <v>52</v>
      </c>
      <c r="D7" s="146">
        <f>[8]Folha1!$I$46</f>
        <v>0</v>
      </c>
      <c r="E7" s="147">
        <f>[8]Folha1!$I$53</f>
        <v>742985.20000000007</v>
      </c>
      <c r="F7" s="147">
        <f>$F$6</f>
        <v>33909</v>
      </c>
      <c r="G7" s="146">
        <f t="shared" si="5"/>
        <v>0</v>
      </c>
      <c r="H7" s="148">
        <f>'[6]Mensais 07-12 MOD''s'!F5</f>
        <v>121642.77483039761</v>
      </c>
      <c r="I7" s="149">
        <f t="shared" ref="I7:I70" si="9">H7/E7</f>
        <v>0.1637216660983255</v>
      </c>
      <c r="J7" s="148">
        <f t="shared" si="6"/>
        <v>3.5873300548644198</v>
      </c>
      <c r="K7" s="150">
        <f>'[6]Mensais 07-12 MOD''s'!F$11</f>
        <v>94006.131547536352</v>
      </c>
      <c r="L7" s="151">
        <f t="shared" ref="L7:L70" si="10">K7/E7</f>
        <v>0.12652490459774479</v>
      </c>
      <c r="M7" s="150">
        <f t="shared" si="0"/>
        <v>2.7723062180405305</v>
      </c>
      <c r="N7" s="152">
        <f>'[6]Mensais 07-12 MOD''s'!F$17</f>
        <v>51826.352756285982</v>
      </c>
      <c r="O7" s="153">
        <f t="shared" ref="O7:O70" si="11">N7/E7</f>
        <v>6.9754219540693371E-2</v>
      </c>
      <c r="P7" s="152">
        <f t="shared" si="1"/>
        <v>1.5283951976255856</v>
      </c>
      <c r="Q7" s="147">
        <f>SUM('[6]Mensais 07-12 MOD''s'!F5,'[6]Mensais 07-12 MOD''s'!F11,'[6]Mensais 07-12 MOD''s'!F17)</f>
        <v>267475.25913421996</v>
      </c>
      <c r="R7" s="147">
        <f t="shared" si="7"/>
        <v>0.36000079023676373</v>
      </c>
      <c r="S7" s="154">
        <f t="shared" si="2"/>
        <v>7.8880314705305361</v>
      </c>
      <c r="T7" s="155"/>
      <c r="U7" s="138"/>
      <c r="X7" s="37" t="s">
        <v>6</v>
      </c>
      <c r="Y7" s="139">
        <f t="shared" si="8"/>
        <v>0.27717123588079423</v>
      </c>
      <c r="Z7" s="139">
        <f t="shared" si="8"/>
        <v>6.0214238734817771</v>
      </c>
      <c r="AH7" s="37">
        <v>2009</v>
      </c>
      <c r="AI7" s="141">
        <f>SUM(S29:S40)</f>
        <v>68.767178695591511</v>
      </c>
      <c r="AJ7" s="141">
        <f>SUM(E29:E40)</f>
        <v>8648210.7999999989</v>
      </c>
      <c r="AT7" s="144"/>
      <c r="AU7" s="145" t="s">
        <v>52</v>
      </c>
      <c r="AV7" s="157">
        <f t="shared" si="3"/>
        <v>7.8880314705305361</v>
      </c>
      <c r="AW7" s="154">
        <f t="shared" si="4"/>
        <v>742985.20000000007</v>
      </c>
    </row>
    <row r="8" spans="2:68" x14ac:dyDescent="0.25">
      <c r="B8" s="144"/>
      <c r="C8" s="145" t="s">
        <v>53</v>
      </c>
      <c r="D8" s="146">
        <f>[9]Folha1!$I$46</f>
        <v>0</v>
      </c>
      <c r="E8" s="147">
        <f>[9]Folha1!$I$53</f>
        <v>707285.5</v>
      </c>
      <c r="F8" s="147">
        <f>$F$6</f>
        <v>33909</v>
      </c>
      <c r="G8" s="146">
        <f t="shared" si="5"/>
        <v>0</v>
      </c>
      <c r="H8" s="148">
        <f>'[6]Mensais 07-12 MOD''s'!G5</f>
        <v>113520.48925761247</v>
      </c>
      <c r="I8" s="149">
        <f t="shared" si="9"/>
        <v>0.16050164927403782</v>
      </c>
      <c r="J8" s="148">
        <f t="shared" si="6"/>
        <v>3.3477982027665951</v>
      </c>
      <c r="K8" s="150">
        <f>'[6]Mensais 07-12 MOD''s'!G$11</f>
        <v>93333.091446967504</v>
      </c>
      <c r="L8" s="151">
        <f t="shared" si="10"/>
        <v>0.13195957141347803</v>
      </c>
      <c r="M8" s="150">
        <f t="shared" si="0"/>
        <v>2.7524577972505089</v>
      </c>
      <c r="N8" s="152">
        <f>'[6]Mensais 07-12 MOD''s'!G$17</f>
        <v>18095.780205267787</v>
      </c>
      <c r="O8" s="153">
        <f t="shared" si="11"/>
        <v>2.5584831309658954E-2</v>
      </c>
      <c r="P8" s="152">
        <f t="shared" si="1"/>
        <v>0.5336571472254501</v>
      </c>
      <c r="Q8" s="147">
        <f>SUM('[6]Mensais 07-12 MOD''s'!G5,'[6]Mensais 07-12 MOD''s'!G11,'[6]Mensais 07-12 MOD''s'!G17)</f>
        <v>224949.36090984778</v>
      </c>
      <c r="R8" s="147">
        <f t="shared" si="7"/>
        <v>0.31804605199717478</v>
      </c>
      <c r="S8" s="154">
        <f t="shared" si="2"/>
        <v>6.6339131472425548</v>
      </c>
      <c r="T8" s="155"/>
      <c r="U8" s="138"/>
      <c r="X8" s="37" t="s">
        <v>7</v>
      </c>
      <c r="Y8" s="139">
        <f t="shared" si="8"/>
        <v>0.24257435720722612</v>
      </c>
      <c r="Z8" s="139">
        <f t="shared" si="8"/>
        <v>5.1109072860420879</v>
      </c>
      <c r="AH8" s="37">
        <v>2010</v>
      </c>
      <c r="AI8" s="141">
        <f>SUM(S41:S52)</f>
        <v>67.433967684104886</v>
      </c>
      <c r="AJ8" s="141">
        <f>SUM(E41:E52)</f>
        <v>8635329.4000000004</v>
      </c>
      <c r="AT8" s="144"/>
      <c r="AU8" s="145" t="s">
        <v>53</v>
      </c>
      <c r="AV8" s="157">
        <f t="shared" si="3"/>
        <v>6.6339131472425548</v>
      </c>
      <c r="AW8" s="154">
        <f t="shared" si="4"/>
        <v>707285.5</v>
      </c>
    </row>
    <row r="9" spans="2:68" x14ac:dyDescent="0.25">
      <c r="B9" s="144"/>
      <c r="C9" s="145" t="s">
        <v>54</v>
      </c>
      <c r="D9" s="146">
        <f>[10]Folha1!$I$46</f>
        <v>0</v>
      </c>
      <c r="E9" s="147">
        <f>[10]Folha1!$I$53</f>
        <v>741896.9</v>
      </c>
      <c r="F9" s="147">
        <f t="shared" ref="F9:F29" si="12">$F$6</f>
        <v>33909</v>
      </c>
      <c r="G9" s="146">
        <f t="shared" si="5"/>
        <v>0</v>
      </c>
      <c r="H9" s="148">
        <f>'[6]Mensais 07-12 MOD''s'!H5</f>
        <v>116824.40921799744</v>
      </c>
      <c r="I9" s="149">
        <f t="shared" si="9"/>
        <v>0.15746717531505716</v>
      </c>
      <c r="J9" s="148">
        <f t="shared" si="6"/>
        <v>3.4452331008875943</v>
      </c>
      <c r="K9" s="150">
        <f>'[6]Mensais 07-12 MOD''s'!H$11</f>
        <v>100332.92347234921</v>
      </c>
      <c r="L9" s="151">
        <f t="shared" si="10"/>
        <v>0.13523836461959771</v>
      </c>
      <c r="M9" s="150">
        <f t="shared" si="0"/>
        <v>2.9588877133607365</v>
      </c>
      <c r="N9" s="152">
        <f>'[6]Mensais 07-12 MOD''s'!H$17</f>
        <v>0</v>
      </c>
      <c r="O9" s="153">
        <f t="shared" si="11"/>
        <v>0</v>
      </c>
      <c r="P9" s="152">
        <f t="shared" si="1"/>
        <v>0</v>
      </c>
      <c r="Q9" s="147">
        <f>SUM('[6]Mensais 07-12 MOD''s'!H5,'[6]Mensais 07-12 MOD''s'!H11,'[6]Mensais 07-12 MOD''s'!H17)</f>
        <v>217157.33269034664</v>
      </c>
      <c r="R9" s="147">
        <f t="shared" si="7"/>
        <v>0.29270553993465487</v>
      </c>
      <c r="S9" s="154">
        <f t="shared" si="2"/>
        <v>6.4041208142483308</v>
      </c>
      <c r="T9" s="155"/>
      <c r="U9" s="138"/>
      <c r="X9" s="37" t="s">
        <v>8</v>
      </c>
      <c r="Y9" s="139">
        <f t="shared" si="8"/>
        <v>0.24181714076958349</v>
      </c>
      <c r="Z9" s="139">
        <f t="shared" si="8"/>
        <v>5.2855292419072102</v>
      </c>
      <c r="AH9" s="37">
        <v>2011</v>
      </c>
      <c r="AI9" s="141">
        <f>SUM(S53:S64)</f>
        <v>59.16972269507491</v>
      </c>
      <c r="AJ9" s="141">
        <f>SUM(E53:E64)</f>
        <v>8590749.1999999993</v>
      </c>
      <c r="AT9" s="144"/>
      <c r="AU9" s="145" t="s">
        <v>54</v>
      </c>
      <c r="AV9" s="157">
        <f t="shared" si="3"/>
        <v>6.4041208142483308</v>
      </c>
      <c r="AW9" s="154">
        <f t="shared" si="4"/>
        <v>741896.9</v>
      </c>
    </row>
    <row r="10" spans="2:68" x14ac:dyDescent="0.25">
      <c r="B10" s="144"/>
      <c r="C10" s="145" t="s">
        <v>55</v>
      </c>
      <c r="D10" s="146">
        <f>[11]Folha1!$I$46</f>
        <v>0</v>
      </c>
      <c r="E10" s="147">
        <f>[11]Folha1!$I$53</f>
        <v>716942.9</v>
      </c>
      <c r="F10" s="147">
        <f t="shared" si="12"/>
        <v>33909</v>
      </c>
      <c r="G10" s="146">
        <f t="shared" si="5"/>
        <v>0</v>
      </c>
      <c r="H10" s="148">
        <f>'[6]Mensais 07-12 MOD''s'!I5</f>
        <v>107549.18069356021</v>
      </c>
      <c r="I10" s="149">
        <f t="shared" si="9"/>
        <v>0.15001080378027343</v>
      </c>
      <c r="J10" s="148">
        <f t="shared" si="6"/>
        <v>3.1717001590598426</v>
      </c>
      <c r="K10" s="150">
        <f>'[6]Mensais 07-12 MOD''s'!I$11</f>
        <v>105282.03100649033</v>
      </c>
      <c r="L10" s="151">
        <f t="shared" si="10"/>
        <v>0.14684855796255228</v>
      </c>
      <c r="M10" s="150">
        <f t="shared" si="0"/>
        <v>3.1048403375649629</v>
      </c>
      <c r="N10" s="152">
        <f>'[6]Mensais 07-12 MOD''s'!I$17</f>
        <v>0</v>
      </c>
      <c r="O10" s="153">
        <f t="shared" si="11"/>
        <v>0</v>
      </c>
      <c r="P10" s="152">
        <f t="shared" si="1"/>
        <v>0</v>
      </c>
      <c r="Q10" s="147">
        <f>SUM('[6]Mensais 07-12 MOD''s'!I5,'[6]Mensais 07-12 MOD''s'!I11,'[6]Mensais 07-12 MOD''s'!I17)</f>
        <v>212831.21170005054</v>
      </c>
      <c r="R10" s="147">
        <f t="shared" si="7"/>
        <v>0.29685936174282573</v>
      </c>
      <c r="S10" s="154">
        <f t="shared" si="2"/>
        <v>6.276540496624806</v>
      </c>
      <c r="T10" s="155"/>
      <c r="U10" s="138"/>
      <c r="X10" s="37" t="s">
        <v>9</v>
      </c>
      <c r="Y10" s="139">
        <f t="shared" si="8"/>
        <v>0.25528913111175988</v>
      </c>
      <c r="Z10" s="139">
        <f t="shared" si="8"/>
        <v>5.3800095633727558</v>
      </c>
      <c r="AH10" s="37">
        <v>2012</v>
      </c>
      <c r="AI10" s="141">
        <f>SUM(S65:S76)</f>
        <v>53.837247877354983</v>
      </c>
      <c r="AJ10" s="141">
        <f>SUM(E65:E76)</f>
        <v>8550406.790000001</v>
      </c>
      <c r="AT10" s="144"/>
      <c r="AU10" s="145" t="s">
        <v>55</v>
      </c>
      <c r="AV10" s="157">
        <f t="shared" si="3"/>
        <v>6.276540496624806</v>
      </c>
      <c r="AW10" s="154">
        <f t="shared" si="4"/>
        <v>716942.9</v>
      </c>
    </row>
    <row r="11" spans="2:68" x14ac:dyDescent="0.25">
      <c r="B11" s="144"/>
      <c r="C11" s="145" t="s">
        <v>56</v>
      </c>
      <c r="D11" s="146">
        <f>[12]Folha1!$I$46</f>
        <v>0</v>
      </c>
      <c r="E11" s="147">
        <f>[12]Folha1!$I$53</f>
        <v>729536.10000000009</v>
      </c>
      <c r="F11" s="147">
        <f t="shared" si="12"/>
        <v>33909</v>
      </c>
      <c r="G11" s="146">
        <f t="shared" si="5"/>
        <v>0</v>
      </c>
      <c r="H11" s="148">
        <f>'[6]Mensais 07-12 MOD''s'!J5</f>
        <v>110791.54941777157</v>
      </c>
      <c r="I11" s="149">
        <f t="shared" si="9"/>
        <v>0.15186575334348987</v>
      </c>
      <c r="J11" s="148">
        <f t="shared" si="6"/>
        <v>3.2673198684057794</v>
      </c>
      <c r="K11" s="150">
        <f>'[6]Mensais 07-12 MOD''s'!J$11</f>
        <v>100515.09688748872</v>
      </c>
      <c r="L11" s="151">
        <f t="shared" si="10"/>
        <v>0.1377794695663295</v>
      </c>
      <c r="M11" s="150">
        <f t="shared" si="0"/>
        <v>2.9642601341086059</v>
      </c>
      <c r="N11" s="152">
        <f>'[6]Mensais 07-12 MOD''s'!J$17</f>
        <v>-0.32334187751985155</v>
      </c>
      <c r="O11" s="153">
        <f t="shared" si="11"/>
        <v>-4.4321573328564757E-7</v>
      </c>
      <c r="P11" s="152">
        <f t="shared" si="1"/>
        <v>-9.5355769123197837E-6</v>
      </c>
      <c r="Q11" s="147">
        <f>SUM('[6]Mensais 07-12 MOD''s'!J5,'[6]Mensais 07-12 MOD''s'!J11,'[6]Mensais 07-12 MOD''s'!J17)</f>
        <v>211306.32296338279</v>
      </c>
      <c r="R11" s="147">
        <f t="shared" si="7"/>
        <v>0.28964477969408609</v>
      </c>
      <c r="S11" s="154">
        <f t="shared" si="2"/>
        <v>6.2315704669374732</v>
      </c>
      <c r="T11" s="155"/>
      <c r="U11" s="138"/>
      <c r="X11" s="37" t="s">
        <v>10</v>
      </c>
      <c r="Y11" s="139">
        <f t="shared" si="8"/>
        <v>0.26187257386479212</v>
      </c>
      <c r="Z11" s="139">
        <f t="shared" si="8"/>
        <v>5.6288194870803041</v>
      </c>
      <c r="AT11" s="144"/>
      <c r="AU11" s="145" t="s">
        <v>56</v>
      </c>
      <c r="AV11" s="157">
        <f t="shared" si="3"/>
        <v>6.2315704669374732</v>
      </c>
      <c r="AW11" s="154">
        <f t="shared" si="4"/>
        <v>729536.10000000009</v>
      </c>
    </row>
    <row r="12" spans="2:68" x14ac:dyDescent="0.25">
      <c r="B12" s="144"/>
      <c r="C12" s="145" t="s">
        <v>57</v>
      </c>
      <c r="D12" s="146">
        <f>[13]Folha1!$I$46</f>
        <v>0</v>
      </c>
      <c r="E12" s="147">
        <f>[13]Folha1!$I$53</f>
        <v>696731</v>
      </c>
      <c r="F12" s="147">
        <f t="shared" si="12"/>
        <v>33909</v>
      </c>
      <c r="G12" s="146">
        <f t="shared" si="5"/>
        <v>0</v>
      </c>
      <c r="H12" s="148">
        <f>'[6]Mensais 07-12 MOD''s'!K5</f>
        <v>103463.65122517012</v>
      </c>
      <c r="I12" s="149">
        <f t="shared" si="9"/>
        <v>0.14849870498825246</v>
      </c>
      <c r="J12" s="148">
        <f t="shared" si="6"/>
        <v>3.0512150527933621</v>
      </c>
      <c r="K12" s="150">
        <f>'[6]Mensais 07-12 MOD''s'!K$11</f>
        <v>86619.330022286886</v>
      </c>
      <c r="L12" s="151">
        <f t="shared" si="10"/>
        <v>0.12432248604165293</v>
      </c>
      <c r="M12" s="150">
        <f t="shared" si="0"/>
        <v>2.5544643021701283</v>
      </c>
      <c r="N12" s="152">
        <f>'[6]Mensais 07-12 MOD''s'!K$17</f>
        <v>0</v>
      </c>
      <c r="O12" s="153">
        <f t="shared" si="11"/>
        <v>0</v>
      </c>
      <c r="P12" s="152">
        <f t="shared" si="1"/>
        <v>0</v>
      </c>
      <c r="Q12" s="147">
        <f>SUM('[6]Mensais 07-12 MOD''s'!K5,'[6]Mensais 07-12 MOD''s'!K11,'[6]Mensais 07-12 MOD''s'!K17)</f>
        <v>190082.98124745701</v>
      </c>
      <c r="R12" s="147">
        <f t="shared" si="7"/>
        <v>0.27282119102990537</v>
      </c>
      <c r="S12" s="154">
        <f t="shared" si="2"/>
        <v>5.6056793549634909</v>
      </c>
      <c r="T12" s="155"/>
      <c r="U12" s="138"/>
      <c r="X12" s="37" t="s">
        <v>11</v>
      </c>
      <c r="Y12" s="139">
        <f t="shared" si="8"/>
        <v>0.23671511616341681</v>
      </c>
      <c r="Z12" s="139">
        <f t="shared" si="8"/>
        <v>4.8512995551543465</v>
      </c>
      <c r="AT12" s="144"/>
      <c r="AU12" s="145" t="s">
        <v>57</v>
      </c>
      <c r="AV12" s="157">
        <f t="shared" si="3"/>
        <v>5.6056793549634909</v>
      </c>
      <c r="AW12" s="154">
        <f t="shared" si="4"/>
        <v>696731</v>
      </c>
    </row>
    <row r="13" spans="2:68" x14ac:dyDescent="0.25">
      <c r="B13" s="144"/>
      <c r="C13" s="145" t="s">
        <v>58</v>
      </c>
      <c r="D13" s="146">
        <f>[14]Folha1!$I$46</f>
        <v>0</v>
      </c>
      <c r="E13" s="147">
        <f>[14]Folha1!$I$53</f>
        <v>703755.1</v>
      </c>
      <c r="F13" s="147">
        <f t="shared" si="12"/>
        <v>33909</v>
      </c>
      <c r="G13" s="146">
        <f t="shared" si="5"/>
        <v>0</v>
      </c>
      <c r="H13" s="148">
        <f>'[6]Mensais 07-12 MOD''s'!L5</f>
        <v>116583.19367769077</v>
      </c>
      <c r="I13" s="149">
        <f t="shared" si="9"/>
        <v>0.16565875498122964</v>
      </c>
      <c r="J13" s="148">
        <f t="shared" si="6"/>
        <v>3.4381194867937941</v>
      </c>
      <c r="K13" s="150">
        <f>'[6]Mensais 07-12 MOD''s'!L$11</f>
        <v>89463.831886962987</v>
      </c>
      <c r="L13" s="151">
        <f t="shared" si="10"/>
        <v>0.12712352903298746</v>
      </c>
      <c r="M13" s="150">
        <f t="shared" si="0"/>
        <v>2.6383506410381607</v>
      </c>
      <c r="N13" s="152">
        <f>'[6]Mensais 07-12 MOD''s'!L$17</f>
        <v>0</v>
      </c>
      <c r="O13" s="153">
        <f t="shared" si="11"/>
        <v>0</v>
      </c>
      <c r="P13" s="152">
        <f t="shared" si="1"/>
        <v>0</v>
      </c>
      <c r="Q13" s="147">
        <f>SUM('[6]Mensais 07-12 MOD''s'!L5,'[6]Mensais 07-12 MOD''s'!L11,'[6]Mensais 07-12 MOD''s'!L17)</f>
        <v>206047.02556465374</v>
      </c>
      <c r="R13" s="147">
        <f t="shared" si="7"/>
        <v>0.29278228401421708</v>
      </c>
      <c r="S13" s="154">
        <f t="shared" si="2"/>
        <v>6.0764701278319544</v>
      </c>
      <c r="T13" s="155"/>
      <c r="U13" s="138"/>
      <c r="X13" s="37" t="s">
        <v>12</v>
      </c>
      <c r="Y13" s="139">
        <f t="shared" si="8"/>
        <v>0.25990554077058314</v>
      </c>
      <c r="Z13" s="139">
        <f t="shared" si="8"/>
        <v>5.4008494562580465</v>
      </c>
      <c r="AT13" s="144"/>
      <c r="AU13" s="145" t="s">
        <v>58</v>
      </c>
      <c r="AV13" s="157">
        <f t="shared" si="3"/>
        <v>6.0764701278319544</v>
      </c>
      <c r="AW13" s="154">
        <f t="shared" si="4"/>
        <v>703755.1</v>
      </c>
    </row>
    <row r="14" spans="2:68" x14ac:dyDescent="0.25">
      <c r="B14" s="144"/>
      <c r="C14" s="145" t="s">
        <v>59</v>
      </c>
      <c r="D14" s="146">
        <f>[15]Folha1!$I$46</f>
        <v>0</v>
      </c>
      <c r="E14" s="147">
        <f>[15]Folha1!$I$53</f>
        <v>742513.5</v>
      </c>
      <c r="F14" s="147">
        <f t="shared" si="12"/>
        <v>33909</v>
      </c>
      <c r="G14" s="146">
        <f t="shared" si="5"/>
        <v>0</v>
      </c>
      <c r="H14" s="148">
        <f>'[6]Mensais 07-12 MOD''s'!M5</f>
        <v>125332.34140434962</v>
      </c>
      <c r="I14" s="149">
        <f t="shared" si="9"/>
        <v>0.16879469720664961</v>
      </c>
      <c r="J14" s="148">
        <f t="shared" si="6"/>
        <v>3.6961379399082728</v>
      </c>
      <c r="K14" s="150">
        <f>'[6]Mensais 07-12 MOD''s'!M$11</f>
        <v>90847.199802981209</v>
      </c>
      <c r="L14" s="151">
        <f t="shared" si="10"/>
        <v>0.12235090648585004</v>
      </c>
      <c r="M14" s="150">
        <f t="shared" si="0"/>
        <v>2.6791471232705537</v>
      </c>
      <c r="N14" s="152">
        <f>'[6]Mensais 07-12 MOD''s'!M$17</f>
        <v>0</v>
      </c>
      <c r="O14" s="153">
        <f t="shared" si="11"/>
        <v>0</v>
      </c>
      <c r="P14" s="152">
        <f t="shared" si="1"/>
        <v>0</v>
      </c>
      <c r="Q14" s="147">
        <f>SUM('[6]Mensais 07-12 MOD''s'!M5,'[6]Mensais 07-12 MOD''s'!M11,'[6]Mensais 07-12 MOD''s'!M17)</f>
        <v>216179.54120733083</v>
      </c>
      <c r="R14" s="147">
        <f t="shared" si="7"/>
        <v>0.29114560369249964</v>
      </c>
      <c r="S14" s="154">
        <f t="shared" si="2"/>
        <v>6.3752850631788265</v>
      </c>
      <c r="T14" s="155"/>
      <c r="U14" s="138"/>
      <c r="X14" s="37" t="s">
        <v>13</v>
      </c>
      <c r="Y14" s="139">
        <f t="shared" si="8"/>
        <v>0.23813125718240369</v>
      </c>
      <c r="Z14" s="139">
        <f t="shared" si="8"/>
        <v>5.1723782656828279</v>
      </c>
      <c r="AT14" s="144"/>
      <c r="AU14" s="145" t="s">
        <v>59</v>
      </c>
      <c r="AV14" s="157">
        <f t="shared" si="3"/>
        <v>6.3752850631788265</v>
      </c>
      <c r="AW14" s="154">
        <f t="shared" si="4"/>
        <v>742513.5</v>
      </c>
    </row>
    <row r="15" spans="2:68" x14ac:dyDescent="0.25">
      <c r="B15" s="144"/>
      <c r="C15" s="145" t="s">
        <v>60</v>
      </c>
      <c r="D15" s="146">
        <f>[16]Folha1!$I$46</f>
        <v>0</v>
      </c>
      <c r="E15" s="147">
        <f>[16]Folha1!$I$53</f>
        <v>722438.29999999993</v>
      </c>
      <c r="F15" s="147">
        <f t="shared" si="12"/>
        <v>33909</v>
      </c>
      <c r="G15" s="146">
        <f t="shared" si="5"/>
        <v>0</v>
      </c>
      <c r="H15" s="148">
        <f>'[6]Mensais 07-12 MOD''s'!N$5</f>
        <v>120234.26267127556</v>
      </c>
      <c r="I15" s="149">
        <f t="shared" si="9"/>
        <v>0.16642841703059705</v>
      </c>
      <c r="J15" s="148">
        <f t="shared" si="6"/>
        <v>3.5457920514104089</v>
      </c>
      <c r="K15" s="150">
        <f>'[6]Mensais 07-12 MOD''s'!N$11</f>
        <v>65196.811537633665</v>
      </c>
      <c r="L15" s="151">
        <f t="shared" si="10"/>
        <v>9.0245508215211837E-2</v>
      </c>
      <c r="M15" s="150">
        <f t="shared" si="0"/>
        <v>1.9226993287219813</v>
      </c>
      <c r="N15" s="152">
        <f>'[6]Mensais 07-12 MOD''s'!N$17</f>
        <v>29584.781628168872</v>
      </c>
      <c r="O15" s="153">
        <f t="shared" si="11"/>
        <v>4.0951291796363615E-2</v>
      </c>
      <c r="P15" s="152">
        <f t="shared" si="1"/>
        <v>0.87247579191863145</v>
      </c>
      <c r="Q15" s="147">
        <f>SUM('[6]Mensais 07-12 MOD''s'!N5,'[6]Mensais 07-12 MOD''s'!N11,'[6]Mensais 07-12 MOD''s'!N17)</f>
        <v>215015.85583707812</v>
      </c>
      <c r="R15" s="147">
        <f t="shared" si="7"/>
        <v>0.29762521704217254</v>
      </c>
      <c r="S15" s="154">
        <f t="shared" si="2"/>
        <v>6.3409671720510223</v>
      </c>
      <c r="T15" s="155"/>
      <c r="U15" s="138"/>
      <c r="X15" s="37" t="s">
        <v>14</v>
      </c>
      <c r="Y15" s="139">
        <f t="shared" si="8"/>
        <v>0.26314354673492768</v>
      </c>
      <c r="Z15" s="139">
        <f t="shared" si="8"/>
        <v>5.5751637742592424</v>
      </c>
      <c r="AT15" s="144"/>
      <c r="AU15" s="145" t="s">
        <v>60</v>
      </c>
      <c r="AV15" s="157">
        <f t="shared" si="3"/>
        <v>6.3409671720510223</v>
      </c>
      <c r="AW15" s="154">
        <f t="shared" si="4"/>
        <v>722438.29999999993</v>
      </c>
    </row>
    <row r="16" spans="2:68" ht="15.75" thickBot="1" x14ac:dyDescent="0.3">
      <c r="B16" s="158"/>
      <c r="C16" s="159" t="s">
        <v>61</v>
      </c>
      <c r="D16" s="160">
        <f>[17]Folha1!$I$46</f>
        <v>0</v>
      </c>
      <c r="E16" s="161">
        <f>[17]Folha1!$I$53</f>
        <v>735260.70000000007</v>
      </c>
      <c r="F16" s="161">
        <f t="shared" si="12"/>
        <v>33909</v>
      </c>
      <c r="G16" s="160">
        <f t="shared" si="5"/>
        <v>0</v>
      </c>
      <c r="H16" s="162">
        <f>'[6]Mensais 07-12 MOD''s'!O5</f>
        <v>122674.89442877812</v>
      </c>
      <c r="I16" s="163">
        <f t="shared" si="9"/>
        <v>0.16684543921465966</v>
      </c>
      <c r="J16" s="162">
        <f t="shared" si="6"/>
        <v>3.6177679798513114</v>
      </c>
      <c r="K16" s="164">
        <f>'[6]Mensais 07-12 MOD''s'!O$11</f>
        <v>58817.427778910744</v>
      </c>
      <c r="L16" s="165">
        <f t="shared" si="10"/>
        <v>7.9995337407413089E-2</v>
      </c>
      <c r="M16" s="164">
        <f t="shared" si="0"/>
        <v>1.734566863632391</v>
      </c>
      <c r="N16" s="166">
        <f>'[6]Mensais 07-12 MOD''s'!O$17</f>
        <v>67339.037708072952</v>
      </c>
      <c r="O16" s="167">
        <f t="shared" si="11"/>
        <v>9.158525364958707E-2</v>
      </c>
      <c r="P16" s="166">
        <f t="shared" si="1"/>
        <v>1.9858750688039444</v>
      </c>
      <c r="Q16" s="161">
        <f>SUM('[6]Mensais 07-12 MOD''s'!O5,'[6]Mensais 07-12 MOD''s'!O11,'[6]Mensais 07-12 MOD''s'!O17)</f>
        <v>248831.35991576183</v>
      </c>
      <c r="R16" s="161">
        <f t="shared" si="7"/>
        <v>0.33842603027165985</v>
      </c>
      <c r="S16" s="168">
        <f t="shared" si="2"/>
        <v>7.3382099122876472</v>
      </c>
      <c r="T16" s="155"/>
      <c r="U16" s="138"/>
      <c r="X16" s="37" t="s">
        <v>15</v>
      </c>
      <c r="Y16" s="139">
        <f t="shared" si="8"/>
        <v>0.27646474718337993</v>
      </c>
      <c r="Z16" s="139">
        <f t="shared" si="8"/>
        <v>5.9438837251795489</v>
      </c>
      <c r="AT16" s="158"/>
      <c r="AU16" s="159" t="s">
        <v>61</v>
      </c>
      <c r="AV16" s="169">
        <f t="shared" si="3"/>
        <v>7.3382099122876472</v>
      </c>
      <c r="AW16" s="168">
        <f t="shared" si="4"/>
        <v>735260.70000000007</v>
      </c>
    </row>
    <row r="17" spans="2:64" ht="15" customHeight="1" x14ac:dyDescent="0.25">
      <c r="B17" s="125">
        <v>2008</v>
      </c>
      <c r="C17" s="170" t="s">
        <v>48</v>
      </c>
      <c r="D17" s="171">
        <f>[18]Folha1!$I$46</f>
        <v>0</v>
      </c>
      <c r="E17" s="172">
        <f>[18]Folha1!$I$53</f>
        <v>735458.1</v>
      </c>
      <c r="F17" s="172">
        <f t="shared" si="12"/>
        <v>33909</v>
      </c>
      <c r="G17" s="171">
        <f t="shared" si="5"/>
        <v>0</v>
      </c>
      <c r="H17" s="130">
        <f>'[6]Mensais 07-12 MOD''s'!D$6</f>
        <v>127222.89832659526</v>
      </c>
      <c r="I17" s="173">
        <f t="shared" si="9"/>
        <v>0.1729845633987786</v>
      </c>
      <c r="J17" s="130">
        <f t="shared" si="6"/>
        <v>3.7518917787783557</v>
      </c>
      <c r="K17" s="132">
        <f>'[6]Mensais 07-12 MOD''s'!D$12</f>
        <v>58587.459000702373</v>
      </c>
      <c r="L17" s="174">
        <f t="shared" si="10"/>
        <v>7.9661178523565621E-2</v>
      </c>
      <c r="M17" s="132">
        <f t="shared" si="0"/>
        <v>1.7277849243770791</v>
      </c>
      <c r="N17" s="134">
        <f>'[6]Mensais 07-12 MOD''s'!D$18</f>
        <v>68469.180849060242</v>
      </c>
      <c r="O17" s="175">
        <f t="shared" si="11"/>
        <v>9.3097323761965833E-2</v>
      </c>
      <c r="P17" s="134">
        <f t="shared" si="1"/>
        <v>2.0192037762558686</v>
      </c>
      <c r="Q17" s="172">
        <f>SUM('[6]Mensais 07-12 MOD''s'!D6,'[6]Mensais 07-12 MOD''s'!D12,'[6]Mensais 07-12 MOD''s'!D18)</f>
        <v>254279.53817635786</v>
      </c>
      <c r="R17" s="172">
        <f t="shared" si="7"/>
        <v>0.34574306568431007</v>
      </c>
      <c r="S17" s="143">
        <f t="shared" si="2"/>
        <v>7.4988804794113024</v>
      </c>
      <c r="T17" s="155"/>
      <c r="U17" s="138"/>
      <c r="X17" s="37"/>
      <c r="Y17" s="139"/>
      <c r="Z17" s="139"/>
      <c r="AT17" s="125">
        <v>2008</v>
      </c>
      <c r="AU17" s="170" t="s">
        <v>48</v>
      </c>
      <c r="AV17" s="142">
        <f t="shared" si="3"/>
        <v>7.4988804794113024</v>
      </c>
      <c r="AW17" s="143">
        <f t="shared" si="4"/>
        <v>735458.1</v>
      </c>
    </row>
    <row r="18" spans="2:64" x14ac:dyDescent="0.25">
      <c r="B18" s="144"/>
      <c r="C18" s="145" t="s">
        <v>50</v>
      </c>
      <c r="D18" s="146">
        <f>[19]Folha1!$I$46</f>
        <v>0</v>
      </c>
      <c r="E18" s="147">
        <f>[19]Folha1!$I$53</f>
        <v>699266</v>
      </c>
      <c r="F18" s="147">
        <f t="shared" si="12"/>
        <v>33909</v>
      </c>
      <c r="G18" s="146">
        <f t="shared" si="5"/>
        <v>0</v>
      </c>
      <c r="H18" s="148">
        <f>'[6]Mensais 07-12 MOD''s'!E$6</f>
        <v>117675.19048568539</v>
      </c>
      <c r="I18" s="149">
        <f t="shared" si="9"/>
        <v>0.16828387264029052</v>
      </c>
      <c r="J18" s="148">
        <f t="shared" si="6"/>
        <v>3.4703232323479134</v>
      </c>
      <c r="K18" s="150">
        <f>'[6]Mensais 07-12 MOD''s'!E$12</f>
        <v>55446.657933881652</v>
      </c>
      <c r="L18" s="151">
        <f t="shared" si="10"/>
        <v>7.9292655347009078E-2</v>
      </c>
      <c r="M18" s="150">
        <f t="shared" si="0"/>
        <v>1.6351605159067402</v>
      </c>
      <c r="N18" s="152">
        <f>'[6]Mensais 07-12 MOD''s'!E$18</f>
        <v>49124.850772400154</v>
      </c>
      <c r="O18" s="153">
        <f t="shared" si="11"/>
        <v>7.0252022509889156E-2</v>
      </c>
      <c r="P18" s="152">
        <f t="shared" si="1"/>
        <v>1.4487260247250038</v>
      </c>
      <c r="Q18" s="147">
        <f>SUM('[6]Mensais 07-12 MOD''s'!E6,'[6]Mensais 07-12 MOD''s'!E12,'[6]Mensais 07-12 MOD''s'!E18)</f>
        <v>222246.6991919672</v>
      </c>
      <c r="R18" s="147">
        <f t="shared" si="7"/>
        <v>0.31782855049718878</v>
      </c>
      <c r="S18" s="154">
        <f t="shared" si="2"/>
        <v>6.5542097729796573</v>
      </c>
      <c r="T18" s="155"/>
      <c r="U18" s="138"/>
      <c r="AT18" s="144"/>
      <c r="AU18" s="145" t="s">
        <v>50</v>
      </c>
      <c r="AV18" s="157">
        <f t="shared" si="3"/>
        <v>6.5542097729796573</v>
      </c>
      <c r="AW18" s="154">
        <f t="shared" si="4"/>
        <v>699266</v>
      </c>
    </row>
    <row r="19" spans="2:64" x14ac:dyDescent="0.25">
      <c r="B19" s="144"/>
      <c r="C19" s="145" t="s">
        <v>52</v>
      </c>
      <c r="D19" s="146">
        <f>[20]Folha1!$I$46</f>
        <v>0</v>
      </c>
      <c r="E19" s="147">
        <f>[20]Folha1!$I$53</f>
        <v>734567.20000000007</v>
      </c>
      <c r="F19" s="147">
        <f t="shared" si="12"/>
        <v>33909</v>
      </c>
      <c r="G19" s="146">
        <f t="shared" si="5"/>
        <v>0</v>
      </c>
      <c r="H19" s="148">
        <f>'[6]Mensais 07-12 MOD''s'!F$6</f>
        <v>123286.89933177436</v>
      </c>
      <c r="I19" s="149">
        <f t="shared" si="9"/>
        <v>0.16783610720948927</v>
      </c>
      <c r="J19" s="148">
        <f t="shared" si="6"/>
        <v>3.6358164302036142</v>
      </c>
      <c r="K19" s="150">
        <f>'[6]Mensais 07-12 MOD''s'!F$12</f>
        <v>64216.748762515854</v>
      </c>
      <c r="L19" s="151">
        <f t="shared" si="10"/>
        <v>8.7421203618288215E-2</v>
      </c>
      <c r="M19" s="150">
        <f t="shared" si="0"/>
        <v>1.8937965956682843</v>
      </c>
      <c r="N19" s="152">
        <f>'[6]Mensais 07-12 MOD''s'!F$18</f>
        <v>47716.131265654083</v>
      </c>
      <c r="O19" s="153">
        <f t="shared" si="11"/>
        <v>6.4958156674643358E-2</v>
      </c>
      <c r="P19" s="152">
        <f t="shared" si="1"/>
        <v>1.4071819064453119</v>
      </c>
      <c r="Q19" s="147">
        <f>SUM('[6]Mensais 07-12 MOD''s'!F6,'[6]Mensais 07-12 MOD''s'!F12,'[6]Mensais 07-12 MOD''s'!F18)</f>
        <v>235219.77935994431</v>
      </c>
      <c r="R19" s="147">
        <f t="shared" si="7"/>
        <v>0.32021546750242086</v>
      </c>
      <c r="S19" s="154">
        <f t="shared" si="2"/>
        <v>6.9367949323172109</v>
      </c>
      <c r="T19" s="155"/>
      <c r="U19" s="138"/>
      <c r="AT19" s="144"/>
      <c r="AU19" s="145" t="s">
        <v>52</v>
      </c>
      <c r="AV19" s="157">
        <f t="shared" si="3"/>
        <v>6.9367949323172109</v>
      </c>
      <c r="AW19" s="154">
        <f t="shared" si="4"/>
        <v>734567.20000000007</v>
      </c>
    </row>
    <row r="20" spans="2:64" x14ac:dyDescent="0.25">
      <c r="B20" s="144"/>
      <c r="C20" s="145" t="s">
        <v>53</v>
      </c>
      <c r="D20" s="146">
        <f>[21]Folha1!$I$46</f>
        <v>0</v>
      </c>
      <c r="E20" s="147">
        <f>[21]Folha1!$I$53</f>
        <v>721753.5</v>
      </c>
      <c r="F20" s="147">
        <f t="shared" si="12"/>
        <v>33909</v>
      </c>
      <c r="G20" s="146">
        <f t="shared" si="5"/>
        <v>0</v>
      </c>
      <c r="H20" s="148">
        <f>'[6]Mensais 07-12 MOD''s'!G$6</f>
        <v>120535.92820511451</v>
      </c>
      <c r="I20" s="149">
        <f t="shared" si="9"/>
        <v>0.16700428637355347</v>
      </c>
      <c r="J20" s="148">
        <f t="shared" si="6"/>
        <v>3.5546883778676608</v>
      </c>
      <c r="K20" s="150">
        <f>'[6]Mensais 07-12 MOD''s'!G$12</f>
        <v>58568.759790757074</v>
      </c>
      <c r="L20" s="151">
        <f t="shared" si="10"/>
        <v>8.1147870832295341E-2</v>
      </c>
      <c r="M20" s="150">
        <f t="shared" si="0"/>
        <v>1.7272334716670228</v>
      </c>
      <c r="N20" s="152">
        <f>'[6]Mensais 07-12 MOD''s'!G$18</f>
        <v>6882.6846395844332</v>
      </c>
      <c r="O20" s="153">
        <f t="shared" si="11"/>
        <v>9.5360599423271707E-3</v>
      </c>
      <c r="P20" s="152">
        <f t="shared" si="1"/>
        <v>0.20297515820532699</v>
      </c>
      <c r="Q20" s="147">
        <f>SUM('[6]Mensais 07-12 MOD''s'!G6,'[6]Mensais 07-12 MOD''s'!G12,'[6]Mensais 07-12 MOD''s'!G18)</f>
        <v>185987.37263545603</v>
      </c>
      <c r="R20" s="147">
        <f t="shared" si="7"/>
        <v>0.25768821714817597</v>
      </c>
      <c r="S20" s="154">
        <f t="shared" si="2"/>
        <v>5.4848970077400114</v>
      </c>
      <c r="T20" s="155"/>
      <c r="U20" s="138"/>
      <c r="Z20" s="156"/>
      <c r="AT20" s="144"/>
      <c r="AU20" s="145" t="s">
        <v>53</v>
      </c>
      <c r="AV20" s="157">
        <f t="shared" si="3"/>
        <v>5.4848970077400114</v>
      </c>
      <c r="AW20" s="154">
        <f t="shared" si="4"/>
        <v>721753.5</v>
      </c>
    </row>
    <row r="21" spans="2:64" x14ac:dyDescent="0.25">
      <c r="B21" s="144"/>
      <c r="C21" s="145" t="s">
        <v>54</v>
      </c>
      <c r="D21" s="146">
        <f>[22]Folha1!$I$46</f>
        <v>0</v>
      </c>
      <c r="E21" s="147">
        <f>[22]Folha1!$I$53</f>
        <v>742573.9</v>
      </c>
      <c r="F21" s="147">
        <f t="shared" si="12"/>
        <v>33909</v>
      </c>
      <c r="G21" s="146">
        <f t="shared" si="5"/>
        <v>0</v>
      </c>
      <c r="H21" s="148">
        <f>'[6]Mensais 07-12 MOD''s'!H$6</f>
        <v>119032.74928106251</v>
      </c>
      <c r="I21" s="149">
        <f t="shared" si="9"/>
        <v>0.16029751285503369</v>
      </c>
      <c r="J21" s="148">
        <f t="shared" si="6"/>
        <v>3.5103585856575692</v>
      </c>
      <c r="K21" s="150">
        <f>'[6]Mensais 07-12 MOD''s'!H$12</f>
        <v>59806.546089831725</v>
      </c>
      <c r="L21" s="151">
        <f t="shared" si="10"/>
        <v>8.0539520833996084E-2</v>
      </c>
      <c r="M21" s="150">
        <f t="shared" si="0"/>
        <v>1.7637366507367285</v>
      </c>
      <c r="N21" s="152">
        <f>'[6]Mensais 07-12 MOD''s'!H$18</f>
        <v>0</v>
      </c>
      <c r="O21" s="153">
        <f t="shared" si="11"/>
        <v>0</v>
      </c>
      <c r="P21" s="152">
        <f t="shared" si="1"/>
        <v>0</v>
      </c>
      <c r="Q21" s="147">
        <f>SUM('[6]Mensais 07-12 MOD''s'!H6,'[6]Mensais 07-12 MOD''s'!H12,'[6]Mensais 07-12 MOD''s'!H18)</f>
        <v>178839.29537089425</v>
      </c>
      <c r="R21" s="147">
        <f t="shared" si="7"/>
        <v>0.24083703368902981</v>
      </c>
      <c r="S21" s="154">
        <f t="shared" si="2"/>
        <v>5.2740952363942979</v>
      </c>
      <c r="T21" s="155"/>
      <c r="U21" s="138"/>
      <c r="AT21" s="144"/>
      <c r="AU21" s="145" t="s">
        <v>54</v>
      </c>
      <c r="AV21" s="157">
        <f t="shared" si="3"/>
        <v>5.2740952363942979</v>
      </c>
      <c r="AW21" s="154">
        <f t="shared" si="4"/>
        <v>742573.9</v>
      </c>
    </row>
    <row r="22" spans="2:64" x14ac:dyDescent="0.25">
      <c r="B22" s="144"/>
      <c r="C22" s="145" t="s">
        <v>55</v>
      </c>
      <c r="D22" s="146">
        <f>[23]Folha1!$I$46</f>
        <v>0</v>
      </c>
      <c r="E22" s="147">
        <f>[23]Folha1!$I$53</f>
        <v>717352.9</v>
      </c>
      <c r="F22" s="147">
        <f t="shared" si="12"/>
        <v>33909</v>
      </c>
      <c r="G22" s="146">
        <f t="shared" si="5"/>
        <v>0</v>
      </c>
      <c r="H22" s="148">
        <f>'[6]Mensais 07-12 MOD''s'!I$6</f>
        <v>118761.55746091536</v>
      </c>
      <c r="I22" s="149">
        <f t="shared" si="9"/>
        <v>0.1655552761561504</v>
      </c>
      <c r="J22" s="148">
        <f t="shared" si="6"/>
        <v>3.5023609502172093</v>
      </c>
      <c r="K22" s="150">
        <f>'[6]Mensais 07-12 MOD''s'!I$12</f>
        <v>82401.24196380745</v>
      </c>
      <c r="L22" s="151">
        <f t="shared" si="10"/>
        <v>0.11486848657586447</v>
      </c>
      <c r="M22" s="150">
        <f t="shared" si="0"/>
        <v>2.4300699508628227</v>
      </c>
      <c r="N22" s="152">
        <f>'[6]Mensais 07-12 MOD''s'!I$18</f>
        <v>0</v>
      </c>
      <c r="O22" s="153">
        <f t="shared" si="11"/>
        <v>0</v>
      </c>
      <c r="P22" s="152">
        <f t="shared" si="1"/>
        <v>0</v>
      </c>
      <c r="Q22" s="147">
        <f>SUM('[6]Mensais 07-12 MOD''s'!I6,'[6]Mensais 07-12 MOD''s'!I12,'[6]Mensais 07-12 MOD''s'!I18)</f>
        <v>201162.79942472279</v>
      </c>
      <c r="R22" s="147">
        <f t="shared" si="7"/>
        <v>0.28042376273201486</v>
      </c>
      <c r="S22" s="154">
        <f t="shared" si="2"/>
        <v>5.932430901080032</v>
      </c>
      <c r="T22" s="155"/>
      <c r="U22" s="138"/>
      <c r="AT22" s="144"/>
      <c r="AU22" s="145" t="s">
        <v>55</v>
      </c>
      <c r="AV22" s="157">
        <f t="shared" si="3"/>
        <v>5.932430901080032</v>
      </c>
      <c r="AW22" s="154">
        <f t="shared" si="4"/>
        <v>717352.9</v>
      </c>
    </row>
    <row r="23" spans="2:64" x14ac:dyDescent="0.25">
      <c r="B23" s="144"/>
      <c r="C23" s="145" t="s">
        <v>56</v>
      </c>
      <c r="D23" s="146">
        <f>[24]Folha1!$I$46</f>
        <v>0</v>
      </c>
      <c r="E23" s="147">
        <f>[24]Folha1!$I$53</f>
        <v>733855.10000000009</v>
      </c>
      <c r="F23" s="147">
        <f t="shared" si="12"/>
        <v>33909</v>
      </c>
      <c r="G23" s="146">
        <f t="shared" si="5"/>
        <v>0</v>
      </c>
      <c r="H23" s="148">
        <f>'[6]Mensais 07-12 MOD''s'!J$6</f>
        <v>119380.4411876185</v>
      </c>
      <c r="I23" s="149">
        <f t="shared" si="9"/>
        <v>0.16267576690223789</v>
      </c>
      <c r="J23" s="148">
        <f t="shared" si="6"/>
        <v>3.5206122618661273</v>
      </c>
      <c r="K23" s="150">
        <f>'[6]Mensais 07-12 MOD''s'!J$12</f>
        <v>91654.549073220725</v>
      </c>
      <c r="L23" s="151">
        <f t="shared" si="10"/>
        <v>0.12489461349143818</v>
      </c>
      <c r="M23" s="150">
        <f t="shared" si="0"/>
        <v>2.7029564149111072</v>
      </c>
      <c r="N23" s="152">
        <f>'[6]Mensais 07-12 MOD''s'!J$18</f>
        <v>0</v>
      </c>
      <c r="O23" s="153">
        <f t="shared" si="11"/>
        <v>0</v>
      </c>
      <c r="P23" s="152">
        <f t="shared" si="1"/>
        <v>0</v>
      </c>
      <c r="Q23" s="147">
        <f>SUM('[6]Mensais 07-12 MOD''s'!J6,'[6]Mensais 07-12 MOD''s'!J12,'[6]Mensais 07-12 MOD''s'!J18)</f>
        <v>211034.99026083923</v>
      </c>
      <c r="R23" s="147">
        <f t="shared" si="7"/>
        <v>0.28757038039367611</v>
      </c>
      <c r="S23" s="154">
        <f t="shared" si="2"/>
        <v>6.2235686767772345</v>
      </c>
      <c r="T23" s="155"/>
      <c r="U23" s="138"/>
      <c r="AT23" s="144"/>
      <c r="AU23" s="145" t="s">
        <v>56</v>
      </c>
      <c r="AV23" s="157">
        <f t="shared" si="3"/>
        <v>6.2235686767772345</v>
      </c>
      <c r="AW23" s="154">
        <f t="shared" si="4"/>
        <v>733855.10000000009</v>
      </c>
      <c r="BJ23" s="123" t="s">
        <v>30</v>
      </c>
      <c r="BK23" s="123" t="s">
        <v>47</v>
      </c>
      <c r="BL23" s="123" t="s">
        <v>37</v>
      </c>
    </row>
    <row r="24" spans="2:64" x14ac:dyDescent="0.25">
      <c r="B24" s="144"/>
      <c r="C24" s="145" t="s">
        <v>57</v>
      </c>
      <c r="D24" s="146">
        <f>[25]Folha1!$I$46</f>
        <v>0</v>
      </c>
      <c r="E24" s="147">
        <f>[25]Folha1!$I$53</f>
        <v>699832</v>
      </c>
      <c r="F24" s="147">
        <f t="shared" si="12"/>
        <v>33909</v>
      </c>
      <c r="G24" s="146">
        <f t="shared" si="5"/>
        <v>0</v>
      </c>
      <c r="H24" s="148">
        <f>'[6]Mensais 07-12 MOD''s'!K$6</f>
        <v>105297.19488331745</v>
      </c>
      <c r="I24" s="149">
        <f t="shared" si="9"/>
        <v>0.15046067468094837</v>
      </c>
      <c r="J24" s="148">
        <f t="shared" si="6"/>
        <v>3.1052875308418844</v>
      </c>
      <c r="K24" s="150">
        <f>'[6]Mensais 07-12 MOD''s'!K$12</f>
        <v>81539.140201469214</v>
      </c>
      <c r="L24" s="151">
        <f t="shared" si="10"/>
        <v>0.11651244898985644</v>
      </c>
      <c r="M24" s="150">
        <f t="shared" si="0"/>
        <v>2.4046459701397627</v>
      </c>
      <c r="N24" s="152">
        <f>'[6]Mensais 07-12 MOD''s'!K$18</f>
        <v>0</v>
      </c>
      <c r="O24" s="153">
        <f t="shared" si="11"/>
        <v>0</v>
      </c>
      <c r="P24" s="152">
        <f t="shared" si="1"/>
        <v>0</v>
      </c>
      <c r="Q24" s="147">
        <f>SUM('[6]Mensais 07-12 MOD''s'!K6,'[6]Mensais 07-12 MOD''s'!K12,'[6]Mensais 07-12 MOD''s'!K18)</f>
        <v>186836.33508478667</v>
      </c>
      <c r="R24" s="147">
        <f t="shared" si="7"/>
        <v>0.26697312367080478</v>
      </c>
      <c r="S24" s="154">
        <f t="shared" si="2"/>
        <v>5.5099335009816466</v>
      </c>
      <c r="T24" s="155"/>
      <c r="U24" s="138"/>
      <c r="AT24" s="144"/>
      <c r="AU24" s="145" t="s">
        <v>57</v>
      </c>
      <c r="AV24" s="157">
        <f t="shared" si="3"/>
        <v>5.5099335009816466</v>
      </c>
      <c r="AW24" s="154">
        <f t="shared" si="4"/>
        <v>699832</v>
      </c>
      <c r="BJ24" s="123">
        <v>2007</v>
      </c>
      <c r="BK24" s="176">
        <f>AVERAGE(AW5:AW7)</f>
        <v>724958.06666666677</v>
      </c>
      <c r="BL24" s="176">
        <f>AVERAGE(AV5:AV7)</f>
        <v>8.4813764756112597</v>
      </c>
    </row>
    <row r="25" spans="2:64" x14ac:dyDescent="0.25">
      <c r="B25" s="144"/>
      <c r="C25" s="145" t="s">
        <v>58</v>
      </c>
      <c r="D25" s="146">
        <f>[26]Folha1!$I$46</f>
        <v>0</v>
      </c>
      <c r="E25" s="147">
        <f>[26]Folha1!$I$53</f>
        <v>706729.1</v>
      </c>
      <c r="F25" s="147">
        <f t="shared" si="12"/>
        <v>33909</v>
      </c>
      <c r="G25" s="146">
        <f t="shared" si="5"/>
        <v>0</v>
      </c>
      <c r="H25" s="148">
        <f>'[6]Mensais 07-12 MOD''s'!L$6</f>
        <v>114891.09680831496</v>
      </c>
      <c r="I25" s="149">
        <f t="shared" si="9"/>
        <v>0.16256737809199448</v>
      </c>
      <c r="J25" s="148">
        <f t="shared" si="6"/>
        <v>3.3882183729486259</v>
      </c>
      <c r="K25" s="150">
        <f>'[6]Mensais 07-12 MOD''s'!L$12</f>
        <v>97235.627417584241</v>
      </c>
      <c r="L25" s="151">
        <f t="shared" si="10"/>
        <v>0.13758543042529908</v>
      </c>
      <c r="M25" s="150">
        <f t="shared" si="0"/>
        <v>2.8675462979617281</v>
      </c>
      <c r="N25" s="152">
        <f>'[6]Mensais 07-12 MOD''s'!L$18</f>
        <v>0</v>
      </c>
      <c r="O25" s="153">
        <f t="shared" si="11"/>
        <v>0</v>
      </c>
      <c r="P25" s="152">
        <f t="shared" si="1"/>
        <v>0</v>
      </c>
      <c r="Q25" s="147">
        <f>SUM('[6]Mensais 07-12 MOD''s'!L6,'[6]Mensais 07-12 MOD''s'!L12,'[6]Mensais 07-12 MOD''s'!L18)</f>
        <v>212126.7242258992</v>
      </c>
      <c r="R25" s="147">
        <f t="shared" si="7"/>
        <v>0.30015280851729353</v>
      </c>
      <c r="S25" s="154">
        <f t="shared" si="2"/>
        <v>6.255764670910354</v>
      </c>
      <c r="T25" s="155"/>
      <c r="U25" s="138"/>
      <c r="AT25" s="144"/>
      <c r="AU25" s="145" t="s">
        <v>58</v>
      </c>
      <c r="AV25" s="157">
        <f t="shared" si="3"/>
        <v>6.255764670910354</v>
      </c>
      <c r="AW25" s="154">
        <f t="shared" si="4"/>
        <v>706729.1</v>
      </c>
      <c r="BJ25" s="123">
        <v>2008</v>
      </c>
      <c r="BK25" s="177">
        <f>AVERAGE(AW17:AW19)</f>
        <v>723097.10000000009</v>
      </c>
      <c r="BL25" s="177">
        <f>AVERAGE(AV17:AV19)</f>
        <v>6.9966283949027241</v>
      </c>
    </row>
    <row r="26" spans="2:64" x14ac:dyDescent="0.25">
      <c r="B26" s="144"/>
      <c r="C26" s="145" t="s">
        <v>59</v>
      </c>
      <c r="D26" s="146">
        <f>[27]Folha1!$I$46</f>
        <v>0</v>
      </c>
      <c r="E26" s="147">
        <f>[27]Folha1!$I$53</f>
        <v>736006</v>
      </c>
      <c r="F26" s="147">
        <f t="shared" si="12"/>
        <v>33909</v>
      </c>
      <c r="G26" s="146">
        <f t="shared" si="5"/>
        <v>0</v>
      </c>
      <c r="H26" s="148">
        <f>'[6]Mensais 07-12 MOD''s'!M$6</f>
        <v>123261.4185862935</v>
      </c>
      <c r="I26" s="149">
        <f t="shared" si="9"/>
        <v>0.16747338824179897</v>
      </c>
      <c r="J26" s="148">
        <f t="shared" si="6"/>
        <v>3.6350649852927983</v>
      </c>
      <c r="K26" s="150">
        <f>'[6]Mensais 07-12 MOD''s'!M$12</f>
        <v>61284.328760949531</v>
      </c>
      <c r="L26" s="151">
        <f t="shared" si="10"/>
        <v>8.3266072234396915E-2</v>
      </c>
      <c r="M26" s="150">
        <f t="shared" si="0"/>
        <v>1.8073174897799855</v>
      </c>
      <c r="N26" s="152">
        <f>'[6]Mensais 07-12 MOD''s'!M$18</f>
        <v>0</v>
      </c>
      <c r="O26" s="153">
        <f t="shared" si="11"/>
        <v>0</v>
      </c>
      <c r="P26" s="152">
        <f t="shared" si="1"/>
        <v>0</v>
      </c>
      <c r="Q26" s="147">
        <f>SUM('[6]Mensais 07-12 MOD''s'!M6,'[6]Mensais 07-12 MOD''s'!M12,'[6]Mensais 07-12 MOD''s'!M18)</f>
        <v>184545.74734724301</v>
      </c>
      <c r="R26" s="147">
        <f t="shared" si="7"/>
        <v>0.25073946047619589</v>
      </c>
      <c r="S26" s="154">
        <f t="shared" si="2"/>
        <v>5.4423824750727832</v>
      </c>
      <c r="T26" s="155"/>
      <c r="U26" s="138"/>
      <c r="AT26" s="144"/>
      <c r="AU26" s="145" t="s">
        <v>59</v>
      </c>
      <c r="AV26" s="157">
        <f t="shared" si="3"/>
        <v>5.4423824750727832</v>
      </c>
      <c r="AW26" s="154">
        <f t="shared" si="4"/>
        <v>736006</v>
      </c>
      <c r="BJ26" s="123">
        <v>2009</v>
      </c>
      <c r="BK26" s="177">
        <f>AVERAGE(AW29:AW31)</f>
        <v>715457.46666666667</v>
      </c>
      <c r="BL26" s="177">
        <f>AVERAGE(AV29:AV31)</f>
        <v>6.5400943379763907</v>
      </c>
    </row>
    <row r="27" spans="2:64" x14ac:dyDescent="0.25">
      <c r="B27" s="144"/>
      <c r="C27" s="145" t="s">
        <v>60</v>
      </c>
      <c r="D27" s="146">
        <f>[28]Folha1!$I$46</f>
        <v>0</v>
      </c>
      <c r="E27" s="147">
        <f>[28]Folha1!$I$53</f>
        <v>724225.29999999993</v>
      </c>
      <c r="F27" s="147">
        <f t="shared" si="12"/>
        <v>33909</v>
      </c>
      <c r="G27" s="146">
        <f t="shared" si="5"/>
        <v>0</v>
      </c>
      <c r="H27" s="148">
        <f>'[6]Mensais 07-12 MOD''s'!N$6</f>
        <v>118338.15607373876</v>
      </c>
      <c r="I27" s="149">
        <f t="shared" si="9"/>
        <v>0.16339964383146899</v>
      </c>
      <c r="J27" s="148">
        <f t="shared" si="6"/>
        <v>3.4898745487551612</v>
      </c>
      <c r="K27" s="150">
        <f>'[6]Mensais 07-12 MOD''s'!N$12</f>
        <v>54674.780801369459</v>
      </c>
      <c r="L27" s="151">
        <f t="shared" si="10"/>
        <v>7.5494160175527514E-2</v>
      </c>
      <c r="M27" s="150">
        <f t="shared" si="0"/>
        <v>1.6123973222852181</v>
      </c>
      <c r="N27" s="152">
        <f>'[6]Mensais 07-12 MOD''s'!N$18</f>
        <v>43199.017041867977</v>
      </c>
      <c r="O27" s="153">
        <f t="shared" si="11"/>
        <v>5.9648588694523628E-2</v>
      </c>
      <c r="P27" s="152">
        <f t="shared" si="1"/>
        <v>1.2739690654949416</v>
      </c>
      <c r="Q27" s="147">
        <f>SUM('[6]Mensais 07-12 MOD''s'!N6,'[6]Mensais 07-12 MOD''s'!N12,'[6]Mensais 07-12 MOD''s'!N18)</f>
        <v>216211.9539169762</v>
      </c>
      <c r="R27" s="147">
        <f t="shared" si="7"/>
        <v>0.29854239270152011</v>
      </c>
      <c r="S27" s="154">
        <f t="shared" si="2"/>
        <v>6.3762409365353214</v>
      </c>
      <c r="T27" s="155"/>
      <c r="U27" s="138"/>
      <c r="AT27" s="144"/>
      <c r="AU27" s="145" t="s">
        <v>60</v>
      </c>
      <c r="AV27" s="157">
        <f t="shared" si="3"/>
        <v>6.3762409365353214</v>
      </c>
      <c r="AW27" s="154">
        <f t="shared" si="4"/>
        <v>724225.29999999993</v>
      </c>
      <c r="BJ27" s="123">
        <v>2010</v>
      </c>
      <c r="BK27" s="177">
        <f>AVERAGE(AW41:AW43)</f>
        <v>712111.53333333333</v>
      </c>
      <c r="BL27" s="177">
        <f>AVERAGE(AV41:AV43)</f>
        <v>6.1539244702704918</v>
      </c>
    </row>
    <row r="28" spans="2:64" ht="15.75" thickBot="1" x14ac:dyDescent="0.3">
      <c r="B28" s="158"/>
      <c r="C28" s="159" t="s">
        <v>61</v>
      </c>
      <c r="D28" s="160">
        <f>[29]Folha1!$I$46</f>
        <v>0</v>
      </c>
      <c r="E28" s="161">
        <f>[29]Folha1!$I$53</f>
        <v>732498.45000000007</v>
      </c>
      <c r="F28" s="161">
        <f t="shared" si="12"/>
        <v>33909</v>
      </c>
      <c r="G28" s="160">
        <f t="shared" si="5"/>
        <v>0</v>
      </c>
      <c r="H28" s="162">
        <f>'[6]Mensais 07-12 MOD''s'!O$6</f>
        <v>123674.05484478688</v>
      </c>
      <c r="I28" s="163">
        <f t="shared" si="9"/>
        <v>0.16883865739891582</v>
      </c>
      <c r="J28" s="162">
        <f t="shared" si="6"/>
        <v>3.6472339156208347</v>
      </c>
      <c r="K28" s="164">
        <f>'[6]Mensais 07-12 MOD''s'!O$12</f>
        <v>46244.855580621806</v>
      </c>
      <c r="L28" s="165">
        <f t="shared" si="10"/>
        <v>6.3133042234590125E-2</v>
      </c>
      <c r="M28" s="164">
        <f t="shared" si="0"/>
        <v>1.363792962948533</v>
      </c>
      <c r="N28" s="166">
        <f>'[6]Mensais 07-12 MOD''s'!O$18</f>
        <v>52971.2784111566</v>
      </c>
      <c r="O28" s="167">
        <f t="shared" si="11"/>
        <v>7.2315891468653068E-2</v>
      </c>
      <c r="P28" s="166">
        <f t="shared" si="1"/>
        <v>1.5621598516959097</v>
      </c>
      <c r="Q28" s="161">
        <f>SUM('[6]Mensais 07-12 MOD''s'!O6,'[6]Mensais 07-12 MOD''s'!O12,'[6]Mensais 07-12 MOD''s'!O18)</f>
        <v>222890.1888365653</v>
      </c>
      <c r="R28" s="161">
        <f t="shared" si="7"/>
        <v>0.30428759110215903</v>
      </c>
      <c r="S28" s="168">
        <f t="shared" si="2"/>
        <v>6.5731867302652773</v>
      </c>
      <c r="T28" s="155"/>
      <c r="U28" s="138"/>
      <c r="AT28" s="158"/>
      <c r="AU28" s="159" t="s">
        <v>61</v>
      </c>
      <c r="AV28" s="169">
        <f t="shared" si="3"/>
        <v>6.5731867302652773</v>
      </c>
      <c r="AW28" s="168">
        <f t="shared" si="4"/>
        <v>732498.45000000007</v>
      </c>
      <c r="BJ28" s="123">
        <v>2011</v>
      </c>
      <c r="BK28" s="177">
        <f>AVERAGE(AW53:AW55)</f>
        <v>712016.16666666663</v>
      </c>
      <c r="BL28" s="177">
        <f>AVERAGE(AV53:AV55)</f>
        <v>5.6775184821446727</v>
      </c>
    </row>
    <row r="29" spans="2:64" ht="15" customHeight="1" x14ac:dyDescent="0.25">
      <c r="B29" s="125">
        <v>2009</v>
      </c>
      <c r="C29" s="170" t="s">
        <v>48</v>
      </c>
      <c r="D29" s="171">
        <f>[30]Folha1!$I$47</f>
        <v>17.3</v>
      </c>
      <c r="E29" s="172">
        <f>[30]Folha1!$I$53</f>
        <v>734799.6</v>
      </c>
      <c r="F29" s="172">
        <f t="shared" si="12"/>
        <v>33909</v>
      </c>
      <c r="G29" s="171">
        <f t="shared" si="5"/>
        <v>5.1018903535934412E-4</v>
      </c>
      <c r="H29" s="130">
        <f>'[6]Mensais 07-12 MOD''s'!D$7</f>
        <v>127534.18285780319</v>
      </c>
      <c r="I29" s="173">
        <f t="shared" si="9"/>
        <v>0.17356321758722132</v>
      </c>
      <c r="J29" s="130">
        <f t="shared" si="6"/>
        <v>3.7610717761598154</v>
      </c>
      <c r="K29" s="132">
        <f>'[6]Mensais 07-12 MOD''s'!D$13</f>
        <v>43879.118642852292</v>
      </c>
      <c r="L29" s="174">
        <f t="shared" si="10"/>
        <v>5.9715762832277391E-2</v>
      </c>
      <c r="M29" s="132">
        <f t="shared" si="0"/>
        <v>1.294025734844799</v>
      </c>
      <c r="N29" s="134">
        <f>'[6]Mensais 07-12 MOD''s'!D$19</f>
        <v>78620.211268184532</v>
      </c>
      <c r="O29" s="175">
        <f t="shared" si="11"/>
        <v>0.10699544647028188</v>
      </c>
      <c r="P29" s="134">
        <f t="shared" si="1"/>
        <v>2.3185647252406301</v>
      </c>
      <c r="Q29" s="172">
        <f>SUM('[6]Mensais 07-12 MOD''s'!D7,'[6]Mensais 07-12 MOD''s'!D13,'[6]Mensais 07-12 MOD''s'!D19)</f>
        <v>250033.51276884001</v>
      </c>
      <c r="R29" s="172">
        <f t="shared" si="7"/>
        <v>0.3402744268897806</v>
      </c>
      <c r="S29" s="143">
        <f t="shared" si="2"/>
        <v>7.3736622362452451</v>
      </c>
      <c r="T29" s="155"/>
      <c r="U29" s="138"/>
      <c r="AT29" s="125">
        <v>2009</v>
      </c>
      <c r="AU29" s="170" t="s">
        <v>48</v>
      </c>
      <c r="AV29" s="142">
        <f t="shared" si="3"/>
        <v>7.3736622362452451</v>
      </c>
      <c r="AW29" s="143">
        <f t="shared" si="4"/>
        <v>734799.6</v>
      </c>
      <c r="BJ29" s="123">
        <v>2012</v>
      </c>
      <c r="BK29" s="177">
        <f>AVERAGE(AW65:AW67)</f>
        <v>716188.33333333337</v>
      </c>
      <c r="BL29" s="177">
        <f>AVERAGE(AV65:AV67)</f>
        <v>4.7852398808188141</v>
      </c>
    </row>
    <row r="30" spans="2:64" x14ac:dyDescent="0.25">
      <c r="B30" s="144"/>
      <c r="C30" s="145" t="s">
        <v>50</v>
      </c>
      <c r="D30" s="146">
        <f>[31]Folha1!$I$47</f>
        <v>17.900000000000002</v>
      </c>
      <c r="E30" s="147">
        <f>[31]Folha1!$I$53</f>
        <v>676446.4</v>
      </c>
      <c r="F30" s="147">
        <f>$F$6</f>
        <v>33909</v>
      </c>
      <c r="G30" s="146">
        <f t="shared" si="5"/>
        <v>5.2788345277065087E-4</v>
      </c>
      <c r="H30" s="148">
        <f>'[6]Mensais 07-12 MOD''s'!E$7</f>
        <v>110075.21511869688</v>
      </c>
      <c r="I30" s="149">
        <f t="shared" si="9"/>
        <v>0.16272570172403442</v>
      </c>
      <c r="J30" s="148">
        <f t="shared" si="6"/>
        <v>3.2461946715826739</v>
      </c>
      <c r="K30" s="150">
        <f>'[6]Mensais 07-12 MOD''s'!E$13</f>
        <v>48861.969961270748</v>
      </c>
      <c r="L30" s="151">
        <f t="shared" si="10"/>
        <v>7.2233321015930815E-2</v>
      </c>
      <c r="M30" s="150">
        <f t="shared" si="0"/>
        <v>1.4409734867224262</v>
      </c>
      <c r="N30" s="152">
        <f>'[6]Mensais 07-12 MOD''s'!E$19</f>
        <v>64645.04741628316</v>
      </c>
      <c r="O30" s="153">
        <f t="shared" si="11"/>
        <v>9.5565661102318164E-2</v>
      </c>
      <c r="P30" s="152">
        <f t="shared" si="1"/>
        <v>1.9064274209290502</v>
      </c>
      <c r="Q30" s="147">
        <f>SUM('[6]Mensais 07-12 MOD''s'!E7,'[6]Mensais 07-12 MOD''s'!E13,'[6]Mensais 07-12 MOD''s'!E19)</f>
        <v>223582.2324962508</v>
      </c>
      <c r="R30" s="147">
        <f t="shared" si="7"/>
        <v>0.33052468384228345</v>
      </c>
      <c r="S30" s="154">
        <f t="shared" si="2"/>
        <v>6.5935955792341501</v>
      </c>
      <c r="T30" s="155"/>
      <c r="U30" s="138"/>
      <c r="AT30" s="144"/>
      <c r="AU30" s="145" t="s">
        <v>50</v>
      </c>
      <c r="AV30" s="157">
        <f t="shared" si="3"/>
        <v>6.5935955792341501</v>
      </c>
      <c r="AW30" s="154">
        <f t="shared" si="4"/>
        <v>676446.4</v>
      </c>
    </row>
    <row r="31" spans="2:64" x14ac:dyDescent="0.25">
      <c r="B31" s="144"/>
      <c r="C31" s="145" t="s">
        <v>52</v>
      </c>
      <c r="D31" s="146">
        <f>[32]Folha1!$I$49</f>
        <v>69.933512750920627</v>
      </c>
      <c r="E31" s="147">
        <f>[32]Folha1!$I$53</f>
        <v>735126.4</v>
      </c>
      <c r="F31" s="147">
        <f t="shared" ref="F31:F76" si="13">$F$6</f>
        <v>33909</v>
      </c>
      <c r="G31" s="146">
        <f t="shared" si="5"/>
        <v>2.0623879427562187E-3</v>
      </c>
      <c r="H31" s="148">
        <f>'[6]Mensais 07-12 MOD''s'!F$7</f>
        <v>120489.53730060629</v>
      </c>
      <c r="I31" s="149">
        <f t="shared" si="9"/>
        <v>0.16390315638318292</v>
      </c>
      <c r="J31" s="148">
        <f t="shared" si="6"/>
        <v>3.5533202778202333</v>
      </c>
      <c r="K31" s="150">
        <f>'[6]Mensais 07-12 MOD''s'!F$13</f>
        <v>54060.112197618299</v>
      </c>
      <c r="L31" s="151">
        <f t="shared" si="10"/>
        <v>7.3538526432486026E-2</v>
      </c>
      <c r="M31" s="150">
        <f t="shared" si="0"/>
        <v>1.5942703175445545</v>
      </c>
      <c r="N31" s="152">
        <f>'[6]Mensais 07-12 MOD''s'!F$19</f>
        <v>17138.781956008843</v>
      </c>
      <c r="O31" s="153">
        <f t="shared" si="11"/>
        <v>2.3314061304299291E-2</v>
      </c>
      <c r="P31" s="152">
        <f t="shared" si="1"/>
        <v>0.50543460308498755</v>
      </c>
      <c r="Q31" s="147">
        <f>SUM('[6]Mensais 07-12 MOD''s'!F7,'[6]Mensais 07-12 MOD''s'!F13,'[6]Mensais 07-12 MOD''s'!F19)</f>
        <v>191688.43145423342</v>
      </c>
      <c r="R31" s="147">
        <f t="shared" si="7"/>
        <v>0.26075574411996821</v>
      </c>
      <c r="S31" s="154">
        <f t="shared" si="2"/>
        <v>5.6530251984497752</v>
      </c>
      <c r="T31" s="155"/>
      <c r="U31" s="138"/>
      <c r="AT31" s="144"/>
      <c r="AU31" s="145" t="s">
        <v>52</v>
      </c>
      <c r="AV31" s="157">
        <f t="shared" si="3"/>
        <v>5.6530251984497752</v>
      </c>
      <c r="AW31" s="154">
        <f t="shared" si="4"/>
        <v>735126.4</v>
      </c>
    </row>
    <row r="32" spans="2:64" x14ac:dyDescent="0.25">
      <c r="B32" s="144"/>
      <c r="C32" s="145" t="s">
        <v>53</v>
      </c>
      <c r="D32" s="146">
        <f>[33]Folha1!$I$49</f>
        <v>71.149036145762679</v>
      </c>
      <c r="E32" s="147">
        <f>[33]Folha1!$I$53</f>
        <v>723777.8</v>
      </c>
      <c r="F32" s="147">
        <f t="shared" si="13"/>
        <v>33909</v>
      </c>
      <c r="G32" s="146">
        <f t="shared" si="5"/>
        <v>2.0982345732921252E-3</v>
      </c>
      <c r="H32" s="148">
        <f>'[6]Mensais 07-12 MOD''s'!G$7</f>
        <v>119592.839036554</v>
      </c>
      <c r="I32" s="149">
        <f t="shared" si="9"/>
        <v>0.16523419070957135</v>
      </c>
      <c r="J32" s="148">
        <f t="shared" si="6"/>
        <v>3.5268760221933411</v>
      </c>
      <c r="K32" s="150">
        <f>'[6]Mensais 07-12 MOD''s'!G$13</f>
        <v>50943.917761671713</v>
      </c>
      <c r="L32" s="151">
        <f t="shared" si="10"/>
        <v>7.0386129225947128E-2</v>
      </c>
      <c r="M32" s="150">
        <f t="shared" si="0"/>
        <v>1.5023715757371705</v>
      </c>
      <c r="N32" s="152">
        <f>'[6]Mensais 07-12 MOD''s'!G$19</f>
        <v>2467.8223929698574</v>
      </c>
      <c r="O32" s="153">
        <f t="shared" si="11"/>
        <v>3.4096409049432811E-3</v>
      </c>
      <c r="P32" s="152">
        <f t="shared" si="1"/>
        <v>7.2777799196964157E-2</v>
      </c>
      <c r="Q32" s="147">
        <f>SUM('[6]Mensais 07-12 MOD''s'!G7,'[6]Mensais 07-12 MOD''s'!G13,'[6]Mensais 07-12 MOD''s'!G19)</f>
        <v>173004.57919119557</v>
      </c>
      <c r="R32" s="147">
        <f t="shared" si="7"/>
        <v>0.23902996084046177</v>
      </c>
      <c r="S32" s="154">
        <f t="shared" si="2"/>
        <v>5.102025397127476</v>
      </c>
      <c r="T32" s="155"/>
      <c r="U32" s="138"/>
      <c r="AT32" s="144"/>
      <c r="AU32" s="145" t="s">
        <v>53</v>
      </c>
      <c r="AV32" s="157">
        <f t="shared" si="3"/>
        <v>5.102025397127476</v>
      </c>
      <c r="AW32" s="154">
        <f t="shared" si="4"/>
        <v>723777.8</v>
      </c>
    </row>
    <row r="33" spans="2:66" x14ac:dyDescent="0.25">
      <c r="B33" s="144"/>
      <c r="C33" s="145" t="s">
        <v>54</v>
      </c>
      <c r="D33" s="146">
        <f>[34]Folha1!$I$49</f>
        <v>70.986711111999</v>
      </c>
      <c r="E33" s="147">
        <f>[34]Folha1!$I$53</f>
        <v>746197.4</v>
      </c>
      <c r="F33" s="147">
        <f t="shared" si="13"/>
        <v>33909</v>
      </c>
      <c r="G33" s="146">
        <f t="shared" si="5"/>
        <v>2.0934474951192603E-3</v>
      </c>
      <c r="H33" s="148">
        <f>'[6]Mensais 07-12 MOD''s'!H$7</f>
        <v>118119.07647772707</v>
      </c>
      <c r="I33" s="149">
        <f t="shared" si="9"/>
        <v>0.15829467708910144</v>
      </c>
      <c r="J33" s="148">
        <f t="shared" si="6"/>
        <v>3.4834137390582756</v>
      </c>
      <c r="K33" s="150">
        <f>'[6]Mensais 07-12 MOD''s'!H$13</f>
        <v>61777.362598175809</v>
      </c>
      <c r="L33" s="151">
        <f t="shared" si="10"/>
        <v>8.2789570960949216E-2</v>
      </c>
      <c r="M33" s="150">
        <f t="shared" si="0"/>
        <v>1.8218574006362855</v>
      </c>
      <c r="N33" s="152">
        <f>'[6]Mensais 07-12 MOD''s'!H$19</f>
        <v>0</v>
      </c>
      <c r="O33" s="153">
        <f t="shared" si="11"/>
        <v>0</v>
      </c>
      <c r="P33" s="152">
        <f t="shared" si="1"/>
        <v>0</v>
      </c>
      <c r="Q33" s="147">
        <f>SUM('[6]Mensais 07-12 MOD''s'!H7,'[6]Mensais 07-12 MOD''s'!H13,'[6]Mensais 07-12 MOD''s'!H19)</f>
        <v>179896.43907590286</v>
      </c>
      <c r="R33" s="147">
        <f t="shared" si="7"/>
        <v>0.24108424805005063</v>
      </c>
      <c r="S33" s="154">
        <f t="shared" si="2"/>
        <v>5.3052711396945611</v>
      </c>
      <c r="T33" s="155"/>
      <c r="U33" s="138"/>
      <c r="AT33" s="144"/>
      <c r="AU33" s="145" t="s">
        <v>54</v>
      </c>
      <c r="AV33" s="157">
        <f t="shared" si="3"/>
        <v>5.3052711396945611</v>
      </c>
      <c r="AW33" s="154">
        <f t="shared" si="4"/>
        <v>746197.4</v>
      </c>
    </row>
    <row r="34" spans="2:66" x14ac:dyDescent="0.25">
      <c r="B34" s="144"/>
      <c r="C34" s="145" t="s">
        <v>55</v>
      </c>
      <c r="D34" s="146">
        <f>[35]Folha1!$I$49</f>
        <v>70.418443481081724</v>
      </c>
      <c r="E34" s="147">
        <f>[35]Folha1!$I$53</f>
        <v>716345.70000000007</v>
      </c>
      <c r="F34" s="147">
        <f t="shared" si="13"/>
        <v>33909</v>
      </c>
      <c r="G34" s="146">
        <f t="shared" si="5"/>
        <v>2.0766888873479526E-3</v>
      </c>
      <c r="H34" s="148">
        <f>'[6]Mensais 07-12 MOD''s'!I$7</f>
        <v>109824.7225121947</v>
      </c>
      <c r="I34" s="149">
        <f t="shared" si="9"/>
        <v>0.1533124614445158</v>
      </c>
      <c r="J34" s="148">
        <f t="shared" si="6"/>
        <v>3.2388074703528473</v>
      </c>
      <c r="K34" s="150">
        <f>'[6]Mensais 07-12 MOD''s'!I$13</f>
        <v>86045.005646365418</v>
      </c>
      <c r="L34" s="151">
        <f t="shared" si="10"/>
        <v>0.12011659405000324</v>
      </c>
      <c r="M34" s="150">
        <f t="shared" si="0"/>
        <v>2.5375270767750573</v>
      </c>
      <c r="N34" s="152">
        <f>'[6]Mensais 07-12 MOD''s'!I$19</f>
        <v>0</v>
      </c>
      <c r="O34" s="153">
        <f t="shared" si="11"/>
        <v>0</v>
      </c>
      <c r="P34" s="152">
        <f t="shared" si="1"/>
        <v>0</v>
      </c>
      <c r="Q34" s="147">
        <f>SUM('[6]Mensais 07-12 MOD''s'!I7,'[6]Mensais 07-12 MOD''s'!I13,'[6]Mensais 07-12 MOD''s'!I19)</f>
        <v>195869.72815856012</v>
      </c>
      <c r="R34" s="147">
        <f t="shared" si="7"/>
        <v>0.27342905549451907</v>
      </c>
      <c r="S34" s="154">
        <f t="shared" si="2"/>
        <v>5.7763345471279042</v>
      </c>
      <c r="T34" s="155"/>
      <c r="U34" s="138"/>
      <c r="AT34" s="144"/>
      <c r="AU34" s="145" t="s">
        <v>55</v>
      </c>
      <c r="AV34" s="157">
        <f t="shared" si="3"/>
        <v>5.7763345471279042</v>
      </c>
      <c r="AW34" s="154">
        <f t="shared" si="4"/>
        <v>716345.70000000007</v>
      </c>
      <c r="BK34" s="156"/>
      <c r="BL34" s="156"/>
    </row>
    <row r="35" spans="2:66" x14ac:dyDescent="0.25">
      <c r="B35" s="144"/>
      <c r="C35" s="145" t="s">
        <v>56</v>
      </c>
      <c r="D35" s="146">
        <f>[36]Folha1!$I$49</f>
        <v>69.742936264898759</v>
      </c>
      <c r="E35" s="147">
        <f>[36]Folha1!$I$53</f>
        <v>733123.10000000009</v>
      </c>
      <c r="F35" s="147">
        <f t="shared" si="13"/>
        <v>33909</v>
      </c>
      <c r="G35" s="146">
        <f t="shared" si="5"/>
        <v>2.0567677096021337E-3</v>
      </c>
      <c r="H35" s="148">
        <f>'[6]Mensais 07-12 MOD''s'!J$7</f>
        <v>111411.34801694767</v>
      </c>
      <c r="I35" s="149">
        <f t="shared" si="9"/>
        <v>0.15196813197803705</v>
      </c>
      <c r="J35" s="148">
        <f t="shared" si="6"/>
        <v>3.2855981602803879</v>
      </c>
      <c r="K35" s="150">
        <f>'[6]Mensais 07-12 MOD''s'!J$13</f>
        <v>82999.603238863332</v>
      </c>
      <c r="L35" s="151">
        <f t="shared" si="10"/>
        <v>0.11321373346285682</v>
      </c>
      <c r="M35" s="150">
        <f t="shared" si="0"/>
        <v>2.4477160411354899</v>
      </c>
      <c r="N35" s="152">
        <f>'[6]Mensais 07-12 MOD''s'!J$19</f>
        <v>0</v>
      </c>
      <c r="O35" s="153">
        <f t="shared" si="11"/>
        <v>0</v>
      </c>
      <c r="P35" s="152">
        <f t="shared" si="1"/>
        <v>0</v>
      </c>
      <c r="Q35" s="147">
        <f>SUM('[6]Mensais 07-12 MOD''s'!J7,'[6]Mensais 07-12 MOD''s'!J13,'[6]Mensais 07-12 MOD''s'!J19)</f>
        <v>194410.951255811</v>
      </c>
      <c r="R35" s="147">
        <f t="shared" si="7"/>
        <v>0.26518186544089384</v>
      </c>
      <c r="S35" s="154">
        <f t="shared" si="2"/>
        <v>5.7333142014158778</v>
      </c>
      <c r="T35" s="155"/>
      <c r="U35" s="138"/>
      <c r="AT35" s="144"/>
      <c r="AU35" s="145" t="s">
        <v>56</v>
      </c>
      <c r="AV35" s="157">
        <f t="shared" si="3"/>
        <v>5.7333142014158778</v>
      </c>
      <c r="AW35" s="154">
        <f t="shared" si="4"/>
        <v>733123.10000000009</v>
      </c>
    </row>
    <row r="36" spans="2:66" x14ac:dyDescent="0.25">
      <c r="B36" s="144"/>
      <c r="C36" s="145" t="s">
        <v>57</v>
      </c>
      <c r="D36" s="146">
        <f>[37]Folha1!$I$49</f>
        <v>66.305434183902079</v>
      </c>
      <c r="E36" s="147">
        <f>[37]Folha1!$I$53</f>
        <v>696988.8</v>
      </c>
      <c r="F36" s="147">
        <f t="shared" si="13"/>
        <v>33909</v>
      </c>
      <c r="G36" s="146">
        <f t="shared" si="5"/>
        <v>1.9553933818131494E-3</v>
      </c>
      <c r="H36" s="148">
        <f>'[6]Mensais 07-12 MOD''s'!K$7</f>
        <v>95706.615719578607</v>
      </c>
      <c r="I36" s="149">
        <f t="shared" si="9"/>
        <v>0.13731442416230877</v>
      </c>
      <c r="J36" s="148">
        <f t="shared" si="6"/>
        <v>2.822454679276257</v>
      </c>
      <c r="K36" s="150">
        <f>'[6]Mensais 07-12 MOD''s'!K$13</f>
        <v>80152.733248874749</v>
      </c>
      <c r="L36" s="151">
        <f t="shared" si="10"/>
        <v>0.11499859574339608</v>
      </c>
      <c r="M36" s="150">
        <f t="shared" si="0"/>
        <v>2.3637598646045221</v>
      </c>
      <c r="N36" s="152">
        <f>'[6]Mensais 07-12 MOD''s'!K$19</f>
        <v>0</v>
      </c>
      <c r="O36" s="153">
        <f t="shared" si="11"/>
        <v>0</v>
      </c>
      <c r="P36" s="152">
        <f t="shared" si="1"/>
        <v>0</v>
      </c>
      <c r="Q36" s="147">
        <f>SUM('[6]Mensais 07-12 MOD''s'!K7,'[6]Mensais 07-12 MOD''s'!K13,'[6]Mensais 07-12 MOD''s'!K19)</f>
        <v>175859.34896845336</v>
      </c>
      <c r="R36" s="147">
        <f t="shared" si="7"/>
        <v>0.25231301990570487</v>
      </c>
      <c r="S36" s="154">
        <f t="shared" si="2"/>
        <v>5.1862145438807792</v>
      </c>
      <c r="T36" s="155"/>
      <c r="U36" s="138"/>
      <c r="AT36" s="144"/>
      <c r="AU36" s="145" t="s">
        <v>57</v>
      </c>
      <c r="AV36" s="157">
        <f t="shared" si="3"/>
        <v>5.1862145438807792</v>
      </c>
      <c r="AW36" s="154">
        <f t="shared" si="4"/>
        <v>696988.8</v>
      </c>
    </row>
    <row r="37" spans="2:66" x14ac:dyDescent="0.25">
      <c r="B37" s="144"/>
      <c r="C37" s="145" t="s">
        <v>58</v>
      </c>
      <c r="D37" s="146">
        <f>[38]Folha1!$I$49</f>
        <v>69.218732489899423</v>
      </c>
      <c r="E37" s="147">
        <f>[38]Folha1!$I$53</f>
        <v>704141.39999999991</v>
      </c>
      <c r="F37" s="147">
        <f t="shared" si="13"/>
        <v>33909</v>
      </c>
      <c r="G37" s="146">
        <f t="shared" si="5"/>
        <v>2.0413085755964324E-3</v>
      </c>
      <c r="H37" s="148">
        <f>'[6]Mensais 07-12 MOD''s'!L$7</f>
        <v>106529.92297373408</v>
      </c>
      <c r="I37" s="149">
        <f t="shared" si="9"/>
        <v>0.15129052626891998</v>
      </c>
      <c r="J37" s="148">
        <f t="shared" si="6"/>
        <v>3.1416415398193425</v>
      </c>
      <c r="K37" s="150">
        <f>'[6]Mensais 07-12 MOD''s'!L$13</f>
        <v>78886.721991056969</v>
      </c>
      <c r="L37" s="151">
        <f t="shared" si="10"/>
        <v>0.11203250084579174</v>
      </c>
      <c r="M37" s="150">
        <f t="shared" si="0"/>
        <v>2.3264243118657868</v>
      </c>
      <c r="N37" s="152">
        <f>'[6]Mensais 07-12 MOD''s'!L$19</f>
        <v>0</v>
      </c>
      <c r="O37" s="153">
        <f t="shared" si="11"/>
        <v>0</v>
      </c>
      <c r="P37" s="152">
        <f t="shared" si="1"/>
        <v>0</v>
      </c>
      <c r="Q37" s="147">
        <f>SUM('[6]Mensais 07-12 MOD''s'!L7,'[6]Mensais 07-12 MOD''s'!L13,'[6]Mensais 07-12 MOD''s'!L19)</f>
        <v>185416.64496479105</v>
      </c>
      <c r="R37" s="147">
        <f t="shared" si="7"/>
        <v>0.26332302711471173</v>
      </c>
      <c r="S37" s="154">
        <f t="shared" si="2"/>
        <v>5.4680658516851297</v>
      </c>
      <c r="T37" s="155"/>
      <c r="U37" s="138"/>
      <c r="AT37" s="144"/>
      <c r="AU37" s="145" t="s">
        <v>58</v>
      </c>
      <c r="AV37" s="157">
        <f t="shared" si="3"/>
        <v>5.4680658516851297</v>
      </c>
      <c r="AW37" s="154">
        <f t="shared" si="4"/>
        <v>704141.39999999991</v>
      </c>
    </row>
    <row r="38" spans="2:66" x14ac:dyDescent="0.25">
      <c r="B38" s="144"/>
      <c r="C38" s="145" t="s">
        <v>59</v>
      </c>
      <c r="D38" s="146">
        <f>[39]Folha1!$I$49</f>
        <v>70.049439724347607</v>
      </c>
      <c r="E38" s="147">
        <f>[39]Folha1!$I$53</f>
        <v>736345</v>
      </c>
      <c r="F38" s="147">
        <f t="shared" si="13"/>
        <v>33909</v>
      </c>
      <c r="G38" s="146">
        <f t="shared" si="5"/>
        <v>2.0658067098512961E-3</v>
      </c>
      <c r="H38" s="148">
        <f>'[6]Mensais 07-12 MOD''s'!M$7</f>
        <v>109268.62644499465</v>
      </c>
      <c r="I38" s="149">
        <f t="shared" si="9"/>
        <v>0.14839324833467279</v>
      </c>
      <c r="J38" s="148">
        <f t="shared" si="6"/>
        <v>3.2224078104631411</v>
      </c>
      <c r="K38" s="150">
        <f>'[6]Mensais 07-12 MOD''s'!M$13</f>
        <v>71243.499348577301</v>
      </c>
      <c r="L38" s="151">
        <f t="shared" si="10"/>
        <v>9.6752879898114749E-2</v>
      </c>
      <c r="M38" s="150">
        <f t="shared" si="0"/>
        <v>2.10102035885981</v>
      </c>
      <c r="N38" s="152">
        <f>'[6]Mensais 07-12 MOD''s'!M$19</f>
        <v>0</v>
      </c>
      <c r="O38" s="153">
        <f t="shared" si="11"/>
        <v>0</v>
      </c>
      <c r="P38" s="152">
        <f t="shared" si="1"/>
        <v>0</v>
      </c>
      <c r="Q38" s="147">
        <f>SUM('[6]Mensais 07-12 MOD''s'!M7,'[6]Mensais 07-12 MOD''s'!M13,'[6]Mensais 07-12 MOD''s'!M19)</f>
        <v>180512.12579357193</v>
      </c>
      <c r="R38" s="147">
        <f t="shared" si="7"/>
        <v>0.24514612823278753</v>
      </c>
      <c r="S38" s="154">
        <f t="shared" si="2"/>
        <v>5.323428169322951</v>
      </c>
      <c r="T38" s="155"/>
      <c r="U38" s="138"/>
      <c r="AT38" s="144"/>
      <c r="AU38" s="145" t="s">
        <v>59</v>
      </c>
      <c r="AV38" s="157">
        <f t="shared" si="3"/>
        <v>5.323428169322951</v>
      </c>
      <c r="AW38" s="154">
        <f t="shared" si="4"/>
        <v>736345</v>
      </c>
      <c r="BJ38" s="123" t="s">
        <v>30</v>
      </c>
      <c r="BK38" s="123" t="s">
        <v>47</v>
      </c>
      <c r="BL38" s="123" t="s">
        <v>37</v>
      </c>
    </row>
    <row r="39" spans="2:66" x14ac:dyDescent="0.25">
      <c r="B39" s="144"/>
      <c r="C39" s="145" t="s">
        <v>60</v>
      </c>
      <c r="D39" s="146">
        <f>[40]Folha1!$I$49</f>
        <v>70.312778318440536</v>
      </c>
      <c r="E39" s="147">
        <f>[40]Folha1!$I$53</f>
        <v>715270.79999999993</v>
      </c>
      <c r="F39" s="147">
        <f t="shared" si="13"/>
        <v>33909</v>
      </c>
      <c r="G39" s="146">
        <f t="shared" si="5"/>
        <v>2.0735727481919412E-3</v>
      </c>
      <c r="H39" s="148">
        <f>'[6]Mensais 07-12 MOD''s'!N$7</f>
        <v>110544.94759604581</v>
      </c>
      <c r="I39" s="149">
        <f t="shared" si="9"/>
        <v>0.15454978393644173</v>
      </c>
      <c r="J39" s="148">
        <f t="shared" si="6"/>
        <v>3.2600474091257721</v>
      </c>
      <c r="K39" s="150">
        <f>'[6]Mensais 07-12 MOD''s'!N$13</f>
        <v>53523.511490512908</v>
      </c>
      <c r="L39" s="151">
        <f t="shared" si="10"/>
        <v>7.4829716927509018E-2</v>
      </c>
      <c r="M39" s="150">
        <f t="shared" si="0"/>
        <v>1.5784455893866793</v>
      </c>
      <c r="N39" s="152">
        <f>'[6]Mensais 07-12 MOD''s'!N$19</f>
        <v>13383.536906178013</v>
      </c>
      <c r="O39" s="153">
        <f t="shared" si="11"/>
        <v>1.8711146751940685E-2</v>
      </c>
      <c r="P39" s="152">
        <f t="shared" si="1"/>
        <v>0.39468981409590415</v>
      </c>
      <c r="Q39" s="147">
        <f>SUM('[6]Mensais 07-12 MOD''s'!N7,'[6]Mensais 07-12 MOD''s'!N13,'[6]Mensais 07-12 MOD''s'!N19)</f>
        <v>177451.99599273675</v>
      </c>
      <c r="R39" s="147">
        <f t="shared" si="7"/>
        <v>0.24809064761589145</v>
      </c>
      <c r="S39" s="154">
        <f t="shared" si="2"/>
        <v>5.2331828126083559</v>
      </c>
      <c r="T39" s="155"/>
      <c r="U39" s="138"/>
      <c r="AT39" s="144"/>
      <c r="AU39" s="145" t="s">
        <v>60</v>
      </c>
      <c r="AV39" s="157">
        <f t="shared" si="3"/>
        <v>5.2331828126083559</v>
      </c>
      <c r="AW39" s="154">
        <f t="shared" si="4"/>
        <v>715270.79999999993</v>
      </c>
      <c r="BJ39" s="123">
        <v>2007</v>
      </c>
      <c r="BK39" s="177">
        <f>AVERAGE(AW8:AW10)</f>
        <v>722041.7666666666</v>
      </c>
      <c r="BL39" s="177">
        <f>AVERAGE(AV8:AV10)</f>
        <v>6.4381914860385647</v>
      </c>
    </row>
    <row r="40" spans="2:66" ht="15.75" thickBot="1" x14ac:dyDescent="0.3">
      <c r="B40" s="158"/>
      <c r="C40" s="159" t="s">
        <v>61</v>
      </c>
      <c r="D40" s="160">
        <f>[41]Folha1!$I$49</f>
        <v>69.412383618774726</v>
      </c>
      <c r="E40" s="161">
        <f>[41]Folha1!$I$53</f>
        <v>729648.4</v>
      </c>
      <c r="F40" s="161">
        <f t="shared" si="13"/>
        <v>33909</v>
      </c>
      <c r="G40" s="160">
        <f t="shared" si="5"/>
        <v>2.0470194821072497E-3</v>
      </c>
      <c r="H40" s="162">
        <f>'[6]Mensais 07-12 MOD''s'!O$7</f>
        <v>111769.63739115441</v>
      </c>
      <c r="I40" s="163">
        <f t="shared" si="9"/>
        <v>0.15318287190262378</v>
      </c>
      <c r="J40" s="162">
        <f t="shared" si="6"/>
        <v>3.2961643631824709</v>
      </c>
      <c r="K40" s="164">
        <f>'[6]Mensais 07-12 MOD''s'!O$13</f>
        <v>48298.826009296034</v>
      </c>
      <c r="L40" s="165">
        <f t="shared" si="10"/>
        <v>6.619465760398574E-2</v>
      </c>
      <c r="M40" s="164">
        <f t="shared" si="0"/>
        <v>1.4243659798076036</v>
      </c>
      <c r="N40" s="166">
        <f>'[6]Mensais 07-12 MOD''s'!O$19</f>
        <v>44031.808868014996</v>
      </c>
      <c r="O40" s="167">
        <f t="shared" si="11"/>
        <v>6.0346611968195907E-2</v>
      </c>
      <c r="P40" s="166">
        <f t="shared" si="1"/>
        <v>1.2985286758092245</v>
      </c>
      <c r="Q40" s="161">
        <f>SUM('[6]Mensais 07-12 MOD''s'!O7,'[6]Mensais 07-12 MOD''s'!O13,'[6]Mensais 07-12 MOD''s'!O19)</f>
        <v>204100.27226846543</v>
      </c>
      <c r="R40" s="161">
        <f t="shared" si="7"/>
        <v>0.27972414147480545</v>
      </c>
      <c r="S40" s="168">
        <f t="shared" si="2"/>
        <v>6.0190590187992994</v>
      </c>
      <c r="T40" s="155"/>
      <c r="U40" s="138"/>
      <c r="AT40" s="158"/>
      <c r="AU40" s="159" t="s">
        <v>61</v>
      </c>
      <c r="AV40" s="169">
        <f t="shared" si="3"/>
        <v>6.0190590187992994</v>
      </c>
      <c r="AW40" s="168">
        <f t="shared" si="4"/>
        <v>729648.4</v>
      </c>
      <c r="BJ40" s="123">
        <v>2008</v>
      </c>
      <c r="BK40" s="177">
        <f>AVERAGE(AW20:AW22)</f>
        <v>727226.7666666666</v>
      </c>
      <c r="BL40" s="177">
        <f>AVERAGE(AV20:AV22)</f>
        <v>5.5638077150714471</v>
      </c>
    </row>
    <row r="41" spans="2:66" x14ac:dyDescent="0.25">
      <c r="B41" s="125">
        <v>2010</v>
      </c>
      <c r="C41" s="170" t="s">
        <v>48</v>
      </c>
      <c r="D41" s="171">
        <f>[42]Folha1!$I$49</f>
        <v>69.179159781540534</v>
      </c>
      <c r="E41" s="172">
        <f>[42]Folha1!$I$53</f>
        <v>727196.79999999993</v>
      </c>
      <c r="F41" s="172">
        <f t="shared" si="13"/>
        <v>33909</v>
      </c>
      <c r="G41" s="171">
        <f t="shared" si="5"/>
        <v>2.0401415488967688E-3</v>
      </c>
      <c r="H41" s="130">
        <f>'[6]Mensais 07-12 MOD''s'!D$8</f>
        <v>114214.43025196025</v>
      </c>
      <c r="I41" s="173">
        <f t="shared" si="9"/>
        <v>0.15706123878977502</v>
      </c>
      <c r="J41" s="130">
        <f t="shared" si="6"/>
        <v>3.3682630054546063</v>
      </c>
      <c r="K41" s="132">
        <f>'[6]Mensais 07-12 MOD''s'!D$14</f>
        <v>46103.852187250908</v>
      </c>
      <c r="L41" s="174">
        <f t="shared" si="10"/>
        <v>6.3399415656464536E-2</v>
      </c>
      <c r="M41" s="132">
        <f t="shared" si="0"/>
        <v>1.3596346747840073</v>
      </c>
      <c r="N41" s="134">
        <f>'[6]Mensais 07-12 MOD''s'!D$20</f>
        <v>49824.892435473521</v>
      </c>
      <c r="O41" s="175">
        <f t="shared" si="11"/>
        <v>6.8516380208869909E-2</v>
      </c>
      <c r="P41" s="134">
        <f t="shared" si="1"/>
        <v>1.4693707403778797</v>
      </c>
      <c r="Q41" s="172">
        <f>SUM('[6]Mensais 07-12 MOD''s'!D8,'[6]Mensais 07-12 MOD''s'!D14,'[6]Mensais 07-12 MOD''s'!D20)</f>
        <v>210143.17487468466</v>
      </c>
      <c r="R41" s="172">
        <f t="shared" si="7"/>
        <v>0.28897703465510943</v>
      </c>
      <c r="S41" s="143">
        <f t="shared" si="2"/>
        <v>6.197268420616493</v>
      </c>
      <c r="T41" s="155"/>
      <c r="U41" s="138"/>
      <c r="AT41" s="125">
        <v>2010</v>
      </c>
      <c r="AU41" s="170" t="s">
        <v>48</v>
      </c>
      <c r="AV41" s="142">
        <f t="shared" si="3"/>
        <v>6.197268420616493</v>
      </c>
      <c r="AW41" s="143">
        <f t="shared" si="4"/>
        <v>727196.79999999993</v>
      </c>
      <c r="BJ41" s="123">
        <v>2009</v>
      </c>
      <c r="BK41" s="177">
        <f>AVERAGE(AW32:AW34)</f>
        <v>728773.63333333342</v>
      </c>
      <c r="BL41" s="177">
        <f>AVERAGE(AV32:AV34)</f>
        <v>5.3945436946499798</v>
      </c>
    </row>
    <row r="42" spans="2:66" x14ac:dyDescent="0.25">
      <c r="B42" s="144"/>
      <c r="C42" s="145" t="s">
        <v>50</v>
      </c>
      <c r="D42" s="146">
        <f>[43]Folha1!$I$49</f>
        <v>70.601820839810756</v>
      </c>
      <c r="E42" s="147">
        <f>[43]Folha1!$I$53</f>
        <v>670330.4</v>
      </c>
      <c r="F42" s="147">
        <f t="shared" si="13"/>
        <v>33909</v>
      </c>
      <c r="G42" s="146">
        <f t="shared" si="5"/>
        <v>2.0820968132298431E-3</v>
      </c>
      <c r="H42" s="148">
        <f>'[6]Mensais 07-12 MOD''s'!E$8</f>
        <v>104887.44122405455</v>
      </c>
      <c r="I42" s="149">
        <f t="shared" si="9"/>
        <v>0.15647125838848208</v>
      </c>
      <c r="J42" s="148">
        <f t="shared" si="6"/>
        <v>3.0932036103705371</v>
      </c>
      <c r="K42" s="150">
        <f>'[6]Mensais 07-12 MOD''s'!E$14</f>
        <v>47422.331667857397</v>
      </c>
      <c r="L42" s="151">
        <f t="shared" si="10"/>
        <v>7.0744712857804745E-2</v>
      </c>
      <c r="M42" s="150">
        <f t="shared" si="0"/>
        <v>1.3985175519141644</v>
      </c>
      <c r="N42" s="152">
        <f>'[6]Mensais 07-12 MOD''s'!E$20</f>
        <v>54631.411134325361</v>
      </c>
      <c r="O42" s="153">
        <f t="shared" si="11"/>
        <v>8.1499229535651904E-2</v>
      </c>
      <c r="P42" s="152">
        <f t="shared" si="1"/>
        <v>1.6111183206324386</v>
      </c>
      <c r="Q42" s="147">
        <f>SUM('[6]Mensais 07-12 MOD''s'!E8,'[6]Mensais 07-12 MOD''s'!E14,'[6]Mensais 07-12 MOD''s'!E20)</f>
        <v>206941.18402623729</v>
      </c>
      <c r="R42" s="147">
        <f t="shared" si="7"/>
        <v>0.3087152007819387</v>
      </c>
      <c r="S42" s="154">
        <f t="shared" si="2"/>
        <v>6.1028394829171395</v>
      </c>
      <c r="T42" s="155"/>
      <c r="U42" s="138"/>
      <c r="AT42" s="144"/>
      <c r="AU42" s="145" t="s">
        <v>50</v>
      </c>
      <c r="AV42" s="157">
        <f t="shared" si="3"/>
        <v>6.1028394829171395</v>
      </c>
      <c r="AW42" s="154">
        <f t="shared" si="4"/>
        <v>670330.4</v>
      </c>
      <c r="BJ42" s="123">
        <v>2010</v>
      </c>
      <c r="BK42" s="177">
        <f>AVERAGE(AW44:AW46)</f>
        <v>725657.3666666667</v>
      </c>
      <c r="BL42" s="177">
        <f>AVERAGE(AV44:AV46)</f>
        <v>5.0306821823225887</v>
      </c>
    </row>
    <row r="43" spans="2:66" x14ac:dyDescent="0.25">
      <c r="B43" s="144"/>
      <c r="C43" s="145" t="s">
        <v>52</v>
      </c>
      <c r="D43" s="146">
        <f>[44]Folha1!$I$49</f>
        <v>70.28369097936698</v>
      </c>
      <c r="E43" s="147">
        <f>[44]Folha1!$I$53</f>
        <v>738807.4</v>
      </c>
      <c r="F43" s="147">
        <f t="shared" si="13"/>
        <v>33909</v>
      </c>
      <c r="G43" s="146">
        <f t="shared" si="5"/>
        <v>2.0727149423270218E-3</v>
      </c>
      <c r="H43" s="148">
        <f>'[6]Mensais 07-12 MOD''s'!F$8</f>
        <v>120088.79361382684</v>
      </c>
      <c r="I43" s="149">
        <f t="shared" si="9"/>
        <v>0.1625441131394012</v>
      </c>
      <c r="J43" s="148">
        <f t="shared" si="6"/>
        <v>3.5415020677055309</v>
      </c>
      <c r="K43" s="150">
        <f>'[6]Mensais 07-12 MOD''s'!F$14</f>
        <v>48263.084478557881</v>
      </c>
      <c r="L43" s="151">
        <f t="shared" si="10"/>
        <v>6.5325664684135379E-2</v>
      </c>
      <c r="M43" s="150">
        <f t="shared" si="0"/>
        <v>1.4233119372012706</v>
      </c>
      <c r="N43" s="152">
        <f>'[6]Mensais 07-12 MOD''s'!F$20</f>
        <v>40584.037593899557</v>
      </c>
      <c r="O43" s="153">
        <f t="shared" si="11"/>
        <v>5.4931823360052368E-2</v>
      </c>
      <c r="P43" s="152">
        <f t="shared" si="1"/>
        <v>1.1968515023710389</v>
      </c>
      <c r="Q43" s="147">
        <f>SUM('[6]Mensais 07-12 MOD''s'!F8,'[6]Mensais 07-12 MOD''s'!F14,'[6]Mensais 07-12 MOD''s'!F20)</f>
        <v>208935.91568628428</v>
      </c>
      <c r="R43" s="147">
        <f t="shared" si="7"/>
        <v>0.28280160118358894</v>
      </c>
      <c r="S43" s="154">
        <f t="shared" si="2"/>
        <v>6.1616655072778403</v>
      </c>
      <c r="T43" s="155"/>
      <c r="U43" s="138"/>
      <c r="AT43" s="144"/>
      <c r="AU43" s="145" t="s">
        <v>52</v>
      </c>
      <c r="AV43" s="157">
        <f t="shared" si="3"/>
        <v>6.1616655072778403</v>
      </c>
      <c r="AW43" s="154">
        <f t="shared" si="4"/>
        <v>738807.4</v>
      </c>
      <c r="BJ43" s="123">
        <v>2011</v>
      </c>
      <c r="BK43" s="177">
        <f>AVERAGE(AW56:AW58)</f>
        <v>720359.13333333342</v>
      </c>
      <c r="BL43" s="177">
        <f>AVERAGE(AV56:AV58)</f>
        <v>4.8946840140476766</v>
      </c>
    </row>
    <row r="44" spans="2:66" x14ac:dyDescent="0.25">
      <c r="B44" s="144"/>
      <c r="C44" s="145" t="s">
        <v>53</v>
      </c>
      <c r="D44" s="146">
        <f>[45]Folha1!$I$49</f>
        <v>70.503022796307775</v>
      </c>
      <c r="E44" s="147">
        <f>[45]Folha1!$I$53</f>
        <v>717206.10000000009</v>
      </c>
      <c r="F44" s="147">
        <f t="shared" si="13"/>
        <v>33909</v>
      </c>
      <c r="G44" s="146">
        <f t="shared" si="5"/>
        <v>2.0791831901945728E-3</v>
      </c>
      <c r="H44" s="148">
        <f>'[6]Mensais 07-12 MOD''s'!G$8</f>
        <v>110481.76786959523</v>
      </c>
      <c r="I44" s="149">
        <f t="shared" si="9"/>
        <v>0.15404465727438071</v>
      </c>
      <c r="J44" s="148">
        <f t="shared" si="6"/>
        <v>3.2581841950395245</v>
      </c>
      <c r="K44" s="150">
        <f>'[6]Mensais 07-12 MOD''s'!G$14</f>
        <v>47077.239749740555</v>
      </c>
      <c r="L44" s="151">
        <f t="shared" si="10"/>
        <v>6.5639764845475443E-2</v>
      </c>
      <c r="M44" s="150">
        <f t="shared" si="0"/>
        <v>1.3883405511734512</v>
      </c>
      <c r="N44" s="152">
        <f>'[6]Mensais 07-12 MOD''s'!G$20</f>
        <v>5089.8775870352556</v>
      </c>
      <c r="O44" s="153">
        <f t="shared" si="11"/>
        <v>7.0968130179529356E-3</v>
      </c>
      <c r="P44" s="152">
        <f t="shared" si="1"/>
        <v>0.15010403099576089</v>
      </c>
      <c r="Q44" s="147">
        <f>SUM('[6]Mensais 07-12 MOD''s'!G8,'[6]Mensais 07-12 MOD''s'!G14,'[6]Mensais 07-12 MOD''s'!G20)</f>
        <v>162648.88520637105</v>
      </c>
      <c r="R44" s="147">
        <f t="shared" si="7"/>
        <v>0.2267812351378091</v>
      </c>
      <c r="S44" s="154">
        <f t="shared" si="2"/>
        <v>4.7966287772087366</v>
      </c>
      <c r="T44" s="155"/>
      <c r="U44" s="138"/>
      <c r="AT44" s="144"/>
      <c r="AU44" s="145" t="s">
        <v>53</v>
      </c>
      <c r="AV44" s="157">
        <f t="shared" si="3"/>
        <v>4.7966287772087366</v>
      </c>
      <c r="AW44" s="154">
        <f t="shared" si="4"/>
        <v>717206.10000000009</v>
      </c>
      <c r="BJ44" s="123">
        <v>2012</v>
      </c>
      <c r="BK44" s="177">
        <f>AVERAGE(AW68:AW70)</f>
        <v>715085.56666666677</v>
      </c>
      <c r="BL44" s="177">
        <f>AVERAGE(AV68:AV70)</f>
        <v>4.2309830905138552</v>
      </c>
    </row>
    <row r="45" spans="2:66" x14ac:dyDescent="0.25">
      <c r="B45" s="144"/>
      <c r="C45" s="145" t="s">
        <v>54</v>
      </c>
      <c r="D45" s="146">
        <f>[46]Folha1!$I$49</f>
        <v>70.92693061790618</v>
      </c>
      <c r="E45" s="147">
        <f>[46]Folha1!$I$53</f>
        <v>745569</v>
      </c>
      <c r="F45" s="147">
        <f t="shared" si="13"/>
        <v>33909</v>
      </c>
      <c r="G45" s="146">
        <f t="shared" si="5"/>
        <v>2.0916845267600396E-3</v>
      </c>
      <c r="H45" s="148">
        <f>'[6]Mensais 07-12 MOD''s'!H$8</f>
        <v>114041.084766917</v>
      </c>
      <c r="I45" s="149">
        <f t="shared" si="9"/>
        <v>0.15295845826062646</v>
      </c>
      <c r="J45" s="148">
        <f t="shared" si="6"/>
        <v>3.3631509265067385</v>
      </c>
      <c r="K45" s="150">
        <f>'[6]Mensais 07-12 MOD''s'!H$14</f>
        <v>62175.568589239192</v>
      </c>
      <c r="L45" s="151">
        <f t="shared" si="10"/>
        <v>8.3393446601507298E-2</v>
      </c>
      <c r="M45" s="150">
        <f t="shared" si="0"/>
        <v>1.8336007723388832</v>
      </c>
      <c r="N45" s="152">
        <f>'[6]Mensais 07-12 MOD''s'!H$20</f>
        <v>0</v>
      </c>
      <c r="O45" s="153">
        <f t="shared" si="11"/>
        <v>0</v>
      </c>
      <c r="P45" s="152">
        <f t="shared" si="1"/>
        <v>0</v>
      </c>
      <c r="Q45" s="147">
        <f>SUM('[6]Mensais 07-12 MOD''s'!H8,'[6]Mensais 07-12 MOD''s'!H14,'[6]Mensais 07-12 MOD''s'!H20)</f>
        <v>176216.6533561562</v>
      </c>
      <c r="R45" s="147">
        <f t="shared" si="7"/>
        <v>0.23635190486213375</v>
      </c>
      <c r="S45" s="154">
        <f t="shared" si="2"/>
        <v>5.1967516988456222</v>
      </c>
      <c r="T45" s="155"/>
      <c r="U45" s="138"/>
      <c r="AT45" s="144"/>
      <c r="AU45" s="145" t="s">
        <v>54</v>
      </c>
      <c r="AV45" s="157">
        <f t="shared" si="3"/>
        <v>5.1967516988456222</v>
      </c>
      <c r="AW45" s="154">
        <f t="shared" si="4"/>
        <v>745569</v>
      </c>
      <c r="BJ45" s="61"/>
      <c r="BK45" s="61"/>
      <c r="BL45" s="61"/>
      <c r="BM45" s="61"/>
      <c r="BN45" s="61"/>
    </row>
    <row r="46" spans="2:66" ht="15" customHeight="1" x14ac:dyDescent="0.25">
      <c r="B46" s="144"/>
      <c r="C46" s="145" t="s">
        <v>55</v>
      </c>
      <c r="D46" s="146">
        <f>[47]Folha1!$I$49</f>
        <v>70.207221288350198</v>
      </c>
      <c r="E46" s="147">
        <f>[47]Folha1!$I$53</f>
        <v>714197</v>
      </c>
      <c r="F46" s="147">
        <f t="shared" si="13"/>
        <v>33909</v>
      </c>
      <c r="G46" s="146">
        <f t="shared" si="5"/>
        <v>2.0704597979400805E-3</v>
      </c>
      <c r="H46" s="148">
        <f>'[6]Mensais 07-12 MOD''s'!I$8</f>
        <v>103736.90507981859</v>
      </c>
      <c r="I46" s="149">
        <f t="shared" si="9"/>
        <v>0.145249707125371</v>
      </c>
      <c r="J46" s="148">
        <f t="shared" si="6"/>
        <v>3.0592734990656933</v>
      </c>
      <c r="K46" s="150">
        <f>'[6]Mensais 07-12 MOD''s'!I$14</f>
        <v>69153.762718784099</v>
      </c>
      <c r="L46" s="151">
        <f t="shared" si="10"/>
        <v>9.6827293756182251E-2</v>
      </c>
      <c r="M46" s="150">
        <f t="shared" si="0"/>
        <v>2.0393925718477131</v>
      </c>
      <c r="N46" s="152">
        <f>'[6]Mensais 07-12 MOD''s'!I$20</f>
        <v>0</v>
      </c>
      <c r="O46" s="153">
        <f t="shared" si="11"/>
        <v>0</v>
      </c>
      <c r="P46" s="152">
        <f t="shared" si="1"/>
        <v>0</v>
      </c>
      <c r="Q46" s="147">
        <f>SUM('[6]Mensais 07-12 MOD''s'!I8,'[6]Mensais 07-12 MOD''s'!I14,'[6]Mensais 07-12 MOD''s'!I20)</f>
        <v>172890.66779860269</v>
      </c>
      <c r="R46" s="147">
        <f t="shared" si="7"/>
        <v>0.24207700088155326</v>
      </c>
      <c r="S46" s="154">
        <f t="shared" si="2"/>
        <v>5.0986660709134064</v>
      </c>
      <c r="T46" s="155"/>
      <c r="U46" s="138"/>
      <c r="AT46" s="144"/>
      <c r="AU46" s="145" t="s">
        <v>55</v>
      </c>
      <c r="AV46" s="157">
        <f t="shared" si="3"/>
        <v>5.0986660709134064</v>
      </c>
      <c r="AW46" s="154">
        <f t="shared" si="4"/>
        <v>714197</v>
      </c>
      <c r="BJ46" s="178"/>
      <c r="BK46" s="178"/>
      <c r="BL46" s="178"/>
      <c r="BM46" s="178"/>
      <c r="BN46" s="179"/>
    </row>
    <row r="47" spans="2:66" x14ac:dyDescent="0.25">
      <c r="B47" s="144"/>
      <c r="C47" s="145" t="s">
        <v>56</v>
      </c>
      <c r="D47" s="146">
        <f>[48]Folha1!$I$49</f>
        <v>70.015905949414901</v>
      </c>
      <c r="E47" s="147">
        <f>[48]Folha1!$I$53</f>
        <v>735992.5</v>
      </c>
      <c r="F47" s="147">
        <f t="shared" si="13"/>
        <v>33909</v>
      </c>
      <c r="G47" s="146">
        <f t="shared" si="5"/>
        <v>2.0648177754995696E-3</v>
      </c>
      <c r="H47" s="148">
        <f>'[6]Mensais 07-12 MOD''s'!J$8</f>
        <v>111515.93454484755</v>
      </c>
      <c r="I47" s="149">
        <f t="shared" si="9"/>
        <v>0.15151775941310211</v>
      </c>
      <c r="J47" s="148">
        <f t="shared" si="6"/>
        <v>3.2886824897474876</v>
      </c>
      <c r="K47" s="150">
        <f>'[6]Mensais 07-12 MOD''s'!J$14</f>
        <v>97725.494635613984</v>
      </c>
      <c r="L47" s="151">
        <f t="shared" si="10"/>
        <v>0.13278055773070241</v>
      </c>
      <c r="M47" s="150">
        <f t="shared" si="0"/>
        <v>2.8819928230149512</v>
      </c>
      <c r="N47" s="152">
        <f>'[6]Mensais 07-12 MOD''s'!J$20</f>
        <v>0</v>
      </c>
      <c r="O47" s="153">
        <f t="shared" si="11"/>
        <v>0</v>
      </c>
      <c r="P47" s="152">
        <f t="shared" si="1"/>
        <v>0</v>
      </c>
      <c r="Q47" s="147">
        <f>SUM('[6]Mensais 07-12 MOD''s'!J8,'[6]Mensais 07-12 MOD''s'!J14,'[6]Mensais 07-12 MOD''s'!J20)</f>
        <v>209241.42918046153</v>
      </c>
      <c r="R47" s="147">
        <f t="shared" si="7"/>
        <v>0.28429831714380449</v>
      </c>
      <c r="S47" s="154">
        <f t="shared" si="2"/>
        <v>6.1706753127624383</v>
      </c>
      <c r="T47" s="155"/>
      <c r="U47" s="138"/>
      <c r="AT47" s="144"/>
      <c r="AU47" s="145" t="s">
        <v>56</v>
      </c>
      <c r="AV47" s="157">
        <f t="shared" si="3"/>
        <v>6.1706753127624383</v>
      </c>
      <c r="AW47" s="154">
        <f t="shared" si="4"/>
        <v>735992.5</v>
      </c>
      <c r="BJ47" s="178"/>
      <c r="BK47" s="178"/>
      <c r="BL47" s="178"/>
      <c r="BM47" s="178"/>
      <c r="BN47" s="179"/>
    </row>
    <row r="48" spans="2:66" x14ac:dyDescent="0.25">
      <c r="B48" s="144"/>
      <c r="C48" s="145" t="s">
        <v>57</v>
      </c>
      <c r="D48" s="146">
        <f>[49]Folha1!$I$49</f>
        <v>66.283097360202206</v>
      </c>
      <c r="E48" s="147">
        <f>[49]Folha1!$I$53</f>
        <v>696754</v>
      </c>
      <c r="F48" s="147">
        <f t="shared" si="13"/>
        <v>33909</v>
      </c>
      <c r="G48" s="146">
        <f t="shared" si="5"/>
        <v>1.9547346533428352E-3</v>
      </c>
      <c r="H48" s="148">
        <f>'[6]Mensais 07-12 MOD''s'!K$8</f>
        <v>92632.122581135161</v>
      </c>
      <c r="I48" s="149">
        <f t="shared" si="9"/>
        <v>0.13294810303368931</v>
      </c>
      <c r="J48" s="148">
        <f t="shared" si="6"/>
        <v>2.7317857377432291</v>
      </c>
      <c r="K48" s="150">
        <f>'[6]Mensais 07-12 MOD''s'!K$14</f>
        <v>92027.607485239612</v>
      </c>
      <c r="L48" s="151">
        <f t="shared" si="10"/>
        <v>0.13208048677903481</v>
      </c>
      <c r="M48" s="150">
        <f t="shared" si="0"/>
        <v>2.7139581670128758</v>
      </c>
      <c r="N48" s="152">
        <f>'[6]Mensais 07-12 MOD''s'!K$20</f>
        <v>0</v>
      </c>
      <c r="O48" s="153">
        <f t="shared" si="11"/>
        <v>0</v>
      </c>
      <c r="P48" s="152">
        <f t="shared" si="1"/>
        <v>0</v>
      </c>
      <c r="Q48" s="147">
        <f>SUM('[6]Mensais 07-12 MOD''s'!K8,'[6]Mensais 07-12 MOD''s'!K14,'[6]Mensais 07-12 MOD''s'!K20)</f>
        <v>184659.73006637476</v>
      </c>
      <c r="R48" s="147">
        <f t="shared" si="7"/>
        <v>0.26502858981272409</v>
      </c>
      <c r="S48" s="154">
        <f t="shared" si="2"/>
        <v>5.4457439047561049</v>
      </c>
      <c r="T48" s="155"/>
      <c r="U48" s="138"/>
      <c r="AT48" s="144"/>
      <c r="AU48" s="145" t="s">
        <v>57</v>
      </c>
      <c r="AV48" s="157">
        <f t="shared" si="3"/>
        <v>5.4457439047561049</v>
      </c>
      <c r="AW48" s="154">
        <f t="shared" si="4"/>
        <v>696754</v>
      </c>
      <c r="BJ48" s="178"/>
      <c r="BK48" s="178"/>
      <c r="BL48" s="178"/>
      <c r="BM48" s="178"/>
      <c r="BN48" s="179"/>
    </row>
    <row r="49" spans="2:66" x14ac:dyDescent="0.25">
      <c r="B49" s="144"/>
      <c r="C49" s="145" t="s">
        <v>58</v>
      </c>
      <c r="D49" s="146">
        <f>[50]Folha1!$I$49</f>
        <v>69.521690406676697</v>
      </c>
      <c r="E49" s="147">
        <f>[50]Folha1!$I$53</f>
        <v>707223.29999999993</v>
      </c>
      <c r="F49" s="147">
        <f t="shared" si="13"/>
        <v>33909</v>
      </c>
      <c r="G49" s="146">
        <f t="shared" si="5"/>
        <v>2.0502430153256273E-3</v>
      </c>
      <c r="H49" s="148">
        <f>'[6]Mensais 07-12 MOD''s'!L$8</f>
        <v>101550.18815111333</v>
      </c>
      <c r="I49" s="149">
        <f t="shared" si="9"/>
        <v>0.14358999222892307</v>
      </c>
      <c r="J49" s="148">
        <f t="shared" si="6"/>
        <v>2.9947856955708905</v>
      </c>
      <c r="K49" s="150">
        <f>'[6]Mensais 07-12 MOD''s'!L$14</f>
        <v>80601.691877872756</v>
      </c>
      <c r="L49" s="151">
        <f t="shared" si="10"/>
        <v>0.11396922567154216</v>
      </c>
      <c r="M49" s="150">
        <f t="shared" si="0"/>
        <v>2.3769999669076869</v>
      </c>
      <c r="N49" s="152">
        <f>'[6]Mensais 07-12 MOD''s'!L$20</f>
        <v>0</v>
      </c>
      <c r="O49" s="153">
        <f t="shared" si="11"/>
        <v>0</v>
      </c>
      <c r="P49" s="152">
        <f t="shared" si="1"/>
        <v>0</v>
      </c>
      <c r="Q49" s="147">
        <f>SUM('[6]Mensais 07-12 MOD''s'!L8,'[6]Mensais 07-12 MOD''s'!L14,'[6]Mensais 07-12 MOD''s'!L20)</f>
        <v>182151.88002898608</v>
      </c>
      <c r="R49" s="147">
        <f t="shared" si="7"/>
        <v>0.25755921790046526</v>
      </c>
      <c r="S49" s="154">
        <f t="shared" si="2"/>
        <v>5.3717856624785778</v>
      </c>
      <c r="T49" s="155"/>
      <c r="U49" s="138"/>
      <c r="AT49" s="144"/>
      <c r="AU49" s="145" t="s">
        <v>58</v>
      </c>
      <c r="AV49" s="157">
        <f t="shared" si="3"/>
        <v>5.3717856624785778</v>
      </c>
      <c r="AW49" s="154">
        <f t="shared" si="4"/>
        <v>707223.29999999993</v>
      </c>
      <c r="BJ49" s="179"/>
      <c r="BK49" s="179"/>
      <c r="BL49" s="179"/>
      <c r="BM49" s="179"/>
      <c r="BN49" s="179"/>
    </row>
    <row r="50" spans="2:66" x14ac:dyDescent="0.25">
      <c r="B50" s="144"/>
      <c r="C50" s="145" t="s">
        <v>59</v>
      </c>
      <c r="D50" s="146">
        <f>[51]Folha1!$I$49</f>
        <v>69.848227561623659</v>
      </c>
      <c r="E50" s="147">
        <f>[51]Folha1!$I$53</f>
        <v>734229.9</v>
      </c>
      <c r="F50" s="147">
        <f t="shared" si="13"/>
        <v>33909</v>
      </c>
      <c r="G50" s="146">
        <f t="shared" si="5"/>
        <v>2.059872823192181E-3</v>
      </c>
      <c r="H50" s="148">
        <f>'[6]Mensais 07-12 MOD''s'!M$8</f>
        <v>109709.59246041346</v>
      </c>
      <c r="I50" s="149">
        <f t="shared" si="9"/>
        <v>0.14942130858524483</v>
      </c>
      <c r="J50" s="148">
        <f t="shared" si="6"/>
        <v>3.2354122050315097</v>
      </c>
      <c r="K50" s="150">
        <f>'[6]Mensais 07-12 MOD''s'!M$14</f>
        <v>53253.220526601617</v>
      </c>
      <c r="L50" s="151">
        <f t="shared" si="10"/>
        <v>7.2529354261657852E-2</v>
      </c>
      <c r="M50" s="150">
        <f t="shared" si="0"/>
        <v>1.5704745208234279</v>
      </c>
      <c r="N50" s="152">
        <f>'[6]Mensais 07-12 MOD''s'!M$20</f>
        <v>0</v>
      </c>
      <c r="O50" s="153">
        <f t="shared" si="11"/>
        <v>0</v>
      </c>
      <c r="P50" s="152">
        <f t="shared" si="1"/>
        <v>0</v>
      </c>
      <c r="Q50" s="147">
        <f>SUM('[6]Mensais 07-12 MOD''s'!M8,'[6]Mensais 07-12 MOD''s'!M14,'[6]Mensais 07-12 MOD''s'!M20)</f>
        <v>162962.81298701509</v>
      </c>
      <c r="R50" s="147">
        <f t="shared" si="7"/>
        <v>0.22195066284690271</v>
      </c>
      <c r="S50" s="154">
        <f t="shared" si="2"/>
        <v>4.805886725854938</v>
      </c>
      <c r="T50" s="155"/>
      <c r="U50" s="138"/>
      <c r="AT50" s="144"/>
      <c r="AU50" s="145" t="s">
        <v>59</v>
      </c>
      <c r="AV50" s="157">
        <f t="shared" si="3"/>
        <v>4.805886725854938</v>
      </c>
      <c r="AW50" s="154">
        <f t="shared" si="4"/>
        <v>734229.9</v>
      </c>
      <c r="BJ50" s="179"/>
      <c r="BK50" s="179"/>
      <c r="BL50" s="179"/>
      <c r="BM50" s="179"/>
      <c r="BN50" s="179"/>
    </row>
    <row r="51" spans="2:66" x14ac:dyDescent="0.25">
      <c r="B51" s="144"/>
      <c r="C51" s="145" t="s">
        <v>60</v>
      </c>
      <c r="D51" s="146">
        <f>[52]Folha1!$I$49</f>
        <v>70.65726896497489</v>
      </c>
      <c r="E51" s="147">
        <f>[52]Folha1!$I$53</f>
        <v>718775.2</v>
      </c>
      <c r="F51" s="147">
        <f t="shared" si="13"/>
        <v>33909</v>
      </c>
      <c r="G51" s="146">
        <f t="shared" si="5"/>
        <v>2.0837320170153909E-3</v>
      </c>
      <c r="H51" s="148">
        <f>'[6]Mensais 07-12 MOD''s'!N$8</f>
        <v>128813.46146805643</v>
      </c>
      <c r="I51" s="149">
        <f t="shared" si="9"/>
        <v>0.17921244565485347</v>
      </c>
      <c r="J51" s="148">
        <f t="shared" si="6"/>
        <v>3.7987985923517775</v>
      </c>
      <c r="K51" s="150">
        <f>'[6]Mensais 07-12 MOD''s'!N$14</f>
        <v>51031.801750725041</v>
      </c>
      <c r="L51" s="151">
        <f t="shared" si="10"/>
        <v>7.0998278391804615E-2</v>
      </c>
      <c r="M51" s="150">
        <f t="shared" si="0"/>
        <v>1.5049633357139709</v>
      </c>
      <c r="N51" s="152">
        <f>'[6]Mensais 07-12 MOD''s'!N$20</f>
        <v>23701.043420632664</v>
      </c>
      <c r="O51" s="153">
        <f t="shared" si="11"/>
        <v>3.2974208654712442E-2</v>
      </c>
      <c r="P51" s="152">
        <f t="shared" si="1"/>
        <v>0.69896025894696578</v>
      </c>
      <c r="Q51" s="147">
        <f>SUM('[6]Mensais 07-12 MOD''s'!N8,'[6]Mensais 07-12 MOD''s'!N14,'[6]Mensais 07-12 MOD''s'!N20)</f>
        <v>203546.30663941414</v>
      </c>
      <c r="R51" s="147">
        <f t="shared" si="7"/>
        <v>0.28318493270137052</v>
      </c>
      <c r="S51" s="154">
        <f t="shared" si="2"/>
        <v>6.0027221870127141</v>
      </c>
      <c r="T51" s="155"/>
      <c r="U51" s="138"/>
      <c r="AT51" s="144"/>
      <c r="AU51" s="145" t="s">
        <v>60</v>
      </c>
      <c r="AV51" s="157">
        <f t="shared" si="3"/>
        <v>6.0027221870127141</v>
      </c>
      <c r="AW51" s="154">
        <f t="shared" si="4"/>
        <v>718775.2</v>
      </c>
      <c r="BJ51" s="61"/>
      <c r="BK51" s="61"/>
      <c r="BL51" s="61"/>
      <c r="BM51" s="61"/>
      <c r="BN51" s="61"/>
    </row>
    <row r="52" spans="2:66" ht="15.75" thickBot="1" x14ac:dyDescent="0.3">
      <c r="B52" s="158"/>
      <c r="C52" s="159" t="s">
        <v>61</v>
      </c>
      <c r="D52" s="160">
        <f>[53]Folha1!$I$49</f>
        <v>69.35524777416596</v>
      </c>
      <c r="E52" s="161">
        <f>[53]Folha1!$I$53</f>
        <v>729047.8</v>
      </c>
      <c r="F52" s="161">
        <f t="shared" si="13"/>
        <v>33909</v>
      </c>
      <c r="G52" s="160">
        <f t="shared" si="5"/>
        <v>2.0453345063011579E-3</v>
      </c>
      <c r="H52" s="162">
        <f>'[6]Mensais 07-12 MOD''s'!O$8</f>
        <v>105609.2670943858</v>
      </c>
      <c r="I52" s="163">
        <f t="shared" si="9"/>
        <v>0.14485918083064758</v>
      </c>
      <c r="J52" s="162">
        <f t="shared" si="6"/>
        <v>3.1144907574504055</v>
      </c>
      <c r="K52" s="164">
        <f>'[6]Mensais 07-12 MOD''s'!O$14</f>
        <v>46481.257972845931</v>
      </c>
      <c r="L52" s="165">
        <f t="shared" si="10"/>
        <v>6.3756118560190325E-2</v>
      </c>
      <c r="M52" s="164">
        <f t="shared" si="0"/>
        <v>1.3707646339569415</v>
      </c>
      <c r="N52" s="166">
        <f>'[6]Mensais 07-12 MOD''s'!O$20</f>
        <v>54189.245282492673</v>
      </c>
      <c r="O52" s="167">
        <f t="shared" si="11"/>
        <v>7.432879611253565E-2</v>
      </c>
      <c r="P52" s="166">
        <f t="shared" si="1"/>
        <v>1.598078542053516</v>
      </c>
      <c r="Q52" s="161">
        <f>SUM('[6]Mensais 07-12 MOD''s'!O8,'[6]Mensais 07-12 MOD''s'!O14,'[6]Mensais 07-12 MOD''s'!O20)</f>
        <v>206279.77034972439</v>
      </c>
      <c r="R52" s="161">
        <f t="shared" si="7"/>
        <v>0.28294409550337357</v>
      </c>
      <c r="S52" s="168">
        <f t="shared" si="2"/>
        <v>6.0833339334608629</v>
      </c>
      <c r="T52" s="155"/>
      <c r="U52" s="138"/>
      <c r="AT52" s="158"/>
      <c r="AU52" s="159" t="s">
        <v>61</v>
      </c>
      <c r="AV52" s="169">
        <f t="shared" si="3"/>
        <v>6.0833339334608629</v>
      </c>
      <c r="AW52" s="168">
        <f t="shared" si="4"/>
        <v>729047.8</v>
      </c>
      <c r="BJ52" s="61"/>
      <c r="BK52" s="61"/>
      <c r="BL52" s="61"/>
      <c r="BM52" s="61"/>
      <c r="BN52" s="61"/>
    </row>
    <row r="53" spans="2:66" x14ac:dyDescent="0.25">
      <c r="B53" s="125">
        <v>2011</v>
      </c>
      <c r="C53" s="170" t="s">
        <v>48</v>
      </c>
      <c r="D53" s="171">
        <f>[54]Folha1!$I$49</f>
        <v>69.111578522782509</v>
      </c>
      <c r="E53" s="172">
        <f>[54]Folha1!$I$53</f>
        <v>726486.4</v>
      </c>
      <c r="F53" s="172">
        <f t="shared" si="13"/>
        <v>33909</v>
      </c>
      <c r="G53" s="171">
        <f t="shared" si="5"/>
        <v>2.0381485305606922E-3</v>
      </c>
      <c r="H53" s="130">
        <f>'[6]Mensais 07-12 MOD''s'!D$9</f>
        <v>107477.60549332235</v>
      </c>
      <c r="I53" s="173">
        <f t="shared" si="9"/>
        <v>0.14794166207835735</v>
      </c>
      <c r="J53" s="130">
        <f t="shared" si="6"/>
        <v>3.1695893566109987</v>
      </c>
      <c r="K53" s="132">
        <f>'[6]Mensais 07-12 MOD''s'!D$15</f>
        <v>50135.44123594604</v>
      </c>
      <c r="L53" s="174">
        <f t="shared" si="10"/>
        <v>6.9010846226365746E-2</v>
      </c>
      <c r="M53" s="132">
        <f t="shared" si="0"/>
        <v>1.4785290405481153</v>
      </c>
      <c r="N53" s="134">
        <f>'[6]Mensais 07-12 MOD''s'!D$21</f>
        <v>56541.984734993355</v>
      </c>
      <c r="O53" s="175">
        <f t="shared" si="11"/>
        <v>7.7829378134254612E-2</v>
      </c>
      <c r="P53" s="134">
        <f t="shared" si="1"/>
        <v>1.6674624652745098</v>
      </c>
      <c r="Q53" s="172">
        <f>SUM('[6]Mensais 07-12 MOD''s'!D9,'[6]Mensais 07-12 MOD''s'!D15,'[6]Mensais 07-12 MOD''s'!D21)</f>
        <v>214155.03146426176</v>
      </c>
      <c r="R53" s="172">
        <f t="shared" si="7"/>
        <v>0.29478188643897774</v>
      </c>
      <c r="S53" s="143">
        <f t="shared" si="2"/>
        <v>6.3155808624336238</v>
      </c>
      <c r="T53" s="155"/>
      <c r="U53" s="138"/>
      <c r="AT53" s="125">
        <v>2011</v>
      </c>
      <c r="AU53" s="170" t="s">
        <v>48</v>
      </c>
      <c r="AV53" s="142">
        <f t="shared" si="3"/>
        <v>6.3155808624336238</v>
      </c>
      <c r="AW53" s="143">
        <f t="shared" si="4"/>
        <v>726486.4</v>
      </c>
      <c r="BJ53" s="61"/>
      <c r="BK53" s="61"/>
      <c r="BL53" s="61"/>
      <c r="BM53" s="61"/>
      <c r="BN53" s="61"/>
    </row>
    <row r="54" spans="2:66" x14ac:dyDescent="0.25">
      <c r="B54" s="144"/>
      <c r="C54" s="145" t="s">
        <v>50</v>
      </c>
      <c r="D54" s="146">
        <f>[55]Folha1!$I$49</f>
        <v>71.09968697733008</v>
      </c>
      <c r="E54" s="147">
        <f>[55]Folha1!$I$53</f>
        <v>675057.4</v>
      </c>
      <c r="F54" s="147">
        <f t="shared" si="13"/>
        <v>33909</v>
      </c>
      <c r="G54" s="146">
        <f t="shared" si="5"/>
        <v>2.0967792319835465E-3</v>
      </c>
      <c r="H54" s="148">
        <f>'[6]Mensais 07-12 MOD''s'!E$9</f>
        <v>95716.268494025484</v>
      </c>
      <c r="I54" s="149">
        <f t="shared" si="9"/>
        <v>0.14178982186407479</v>
      </c>
      <c r="J54" s="148">
        <f t="shared" si="6"/>
        <v>2.8227393463099908</v>
      </c>
      <c r="K54" s="150">
        <f>'[6]Mensais 07-12 MOD''s'!E$15</f>
        <v>44441.653560590712</v>
      </c>
      <c r="L54" s="151">
        <f t="shared" si="10"/>
        <v>6.5833888437621321E-2</v>
      </c>
      <c r="M54" s="150">
        <f t="shared" si="0"/>
        <v>1.310615280916297</v>
      </c>
      <c r="N54" s="152">
        <f>'[6]Mensais 07-12 MOD''s'!E$21</f>
        <v>46622.44708126974</v>
      </c>
      <c r="O54" s="153">
        <f t="shared" si="11"/>
        <v>6.9064418938700231E-2</v>
      </c>
      <c r="P54" s="152">
        <f t="shared" si="1"/>
        <v>1.3749283989875767</v>
      </c>
      <c r="Q54" s="147">
        <f>SUM('[6]Mensais 07-12 MOD''s'!E9,'[6]Mensais 07-12 MOD''s'!E15,'[6]Mensais 07-12 MOD''s'!E21)</f>
        <v>186780.36913588597</v>
      </c>
      <c r="R54" s="147">
        <f t="shared" si="7"/>
        <v>0.27668812924039637</v>
      </c>
      <c r="S54" s="154">
        <f t="shared" si="2"/>
        <v>5.5082830262138653</v>
      </c>
      <c r="T54" s="155"/>
      <c r="U54" s="138"/>
      <c r="AT54" s="144"/>
      <c r="AU54" s="145" t="s">
        <v>50</v>
      </c>
      <c r="AV54" s="157">
        <f t="shared" si="3"/>
        <v>5.5082830262138653</v>
      </c>
      <c r="AW54" s="154">
        <f t="shared" si="4"/>
        <v>675057.4</v>
      </c>
    </row>
    <row r="55" spans="2:66" x14ac:dyDescent="0.25">
      <c r="B55" s="144"/>
      <c r="C55" s="145" t="s">
        <v>52</v>
      </c>
      <c r="D55" s="146">
        <f>[56]Folha1!$I$49</f>
        <v>69.874369636379726</v>
      </c>
      <c r="E55" s="147">
        <f>[56]Folha1!$I$53</f>
        <v>734504.70000000007</v>
      </c>
      <c r="F55" s="147">
        <f t="shared" si="13"/>
        <v>33909</v>
      </c>
      <c r="G55" s="146">
        <f t="shared" si="5"/>
        <v>2.0606437711633997E-3</v>
      </c>
      <c r="H55" s="148">
        <f>'[6]Mensais 07-12 MOD''s'!F$9</f>
        <v>104305.51243212511</v>
      </c>
      <c r="I55" s="149">
        <f t="shared" si="9"/>
        <v>0.14200795778723416</v>
      </c>
      <c r="J55" s="148">
        <f t="shared" si="6"/>
        <v>3.0760421254571089</v>
      </c>
      <c r="K55" s="150">
        <f>'[6]Mensais 07-12 MOD''s'!F$15</f>
        <v>48183.779142567357</v>
      </c>
      <c r="L55" s="151">
        <f t="shared" si="10"/>
        <v>6.5600368714546484E-2</v>
      </c>
      <c r="M55" s="150">
        <f t="shared" si="0"/>
        <v>1.4209731676713366</v>
      </c>
      <c r="N55" s="152">
        <f>'[6]Mensais 07-12 MOD''s'!F$21</f>
        <v>24132.230458290851</v>
      </c>
      <c r="O55" s="153">
        <f t="shared" si="11"/>
        <v>3.2855106928915294E-2</v>
      </c>
      <c r="P55" s="152">
        <f t="shared" si="1"/>
        <v>0.71167626465808043</v>
      </c>
      <c r="Q55" s="147">
        <f>SUM('[6]Mensais 07-12 MOD''s'!F9,'[6]Mensais 07-12 MOD''s'!F15,'[6]Mensais 07-12 MOD''s'!F21)</f>
        <v>176621.52203298331</v>
      </c>
      <c r="R55" s="147">
        <f t="shared" si="7"/>
        <v>0.24046343343069593</v>
      </c>
      <c r="S55" s="154">
        <f t="shared" si="2"/>
        <v>5.2086915577865263</v>
      </c>
      <c r="T55" s="155"/>
      <c r="U55" s="138"/>
      <c r="AT55" s="144"/>
      <c r="AU55" s="145" t="s">
        <v>52</v>
      </c>
      <c r="AV55" s="157">
        <f t="shared" si="3"/>
        <v>5.2086915577865263</v>
      </c>
      <c r="AW55" s="154">
        <f t="shared" si="4"/>
        <v>734504.70000000007</v>
      </c>
      <c r="BJ55" s="123" t="s">
        <v>30</v>
      </c>
      <c r="BK55" s="123" t="s">
        <v>47</v>
      </c>
      <c r="BL55" s="123" t="s">
        <v>37</v>
      </c>
    </row>
    <row r="56" spans="2:66" x14ac:dyDescent="0.25">
      <c r="B56" s="144"/>
      <c r="C56" s="145" t="s">
        <v>53</v>
      </c>
      <c r="D56" s="146">
        <f>[57]Folha1!$I$49</f>
        <v>69.692647969565598</v>
      </c>
      <c r="E56" s="147">
        <f>[57]Folha1!$I$53</f>
        <v>708962.4</v>
      </c>
      <c r="F56" s="147">
        <f t="shared" si="13"/>
        <v>33909</v>
      </c>
      <c r="G56" s="146">
        <f t="shared" si="5"/>
        <v>2.0552846727879205E-3</v>
      </c>
      <c r="H56" s="148">
        <f>'[6]Mensais 07-12 MOD''s'!G$9</f>
        <v>100194.20631868737</v>
      </c>
      <c r="I56" s="149">
        <f t="shared" si="9"/>
        <v>0.14132513419426385</v>
      </c>
      <c r="J56" s="148">
        <f t="shared" si="6"/>
        <v>2.9547968479957349</v>
      </c>
      <c r="K56" s="150">
        <f>'[6]Mensais 07-12 MOD''s'!G$15</f>
        <v>57962.17362606214</v>
      </c>
      <c r="L56" s="151">
        <f t="shared" si="10"/>
        <v>8.1756343673602627E-2</v>
      </c>
      <c r="M56" s="150">
        <f t="shared" si="0"/>
        <v>1.7093448236769631</v>
      </c>
      <c r="N56" s="152">
        <f>'[6]Mensais 07-12 MOD''s'!G$21</f>
        <v>0</v>
      </c>
      <c r="O56" s="153">
        <f t="shared" si="11"/>
        <v>0</v>
      </c>
      <c r="P56" s="152">
        <f t="shared" si="1"/>
        <v>0</v>
      </c>
      <c r="Q56" s="147">
        <f>SUM('[6]Mensais 07-12 MOD''s'!G9,'[6]Mensais 07-12 MOD''s'!G15,'[6]Mensais 07-12 MOD''s'!G21)</f>
        <v>158156.37994474953</v>
      </c>
      <c r="R56" s="147">
        <f t="shared" si="7"/>
        <v>0.2230814778678665</v>
      </c>
      <c r="S56" s="154">
        <f t="shared" si="2"/>
        <v>4.6641416716726987</v>
      </c>
      <c r="T56" s="155"/>
      <c r="U56" s="138"/>
      <c r="AT56" s="144"/>
      <c r="AU56" s="145" t="s">
        <v>53</v>
      </c>
      <c r="AV56" s="157">
        <f t="shared" si="3"/>
        <v>4.6641416716726987</v>
      </c>
      <c r="AW56" s="154">
        <f t="shared" si="4"/>
        <v>708962.4</v>
      </c>
      <c r="BJ56" s="123">
        <v>2007</v>
      </c>
      <c r="BK56" s="177">
        <f>AVERAGE(AW11,AW13)</f>
        <v>716645.60000000009</v>
      </c>
      <c r="BL56" s="177">
        <f>AVERAGE(AV11,AV13)</f>
        <v>6.1540202973847133</v>
      </c>
    </row>
    <row r="57" spans="2:66" x14ac:dyDescent="0.25">
      <c r="B57" s="144"/>
      <c r="C57" s="145" t="s">
        <v>54</v>
      </c>
      <c r="D57" s="146">
        <f>[58]Folha1!$I$49</f>
        <v>70.213474584252538</v>
      </c>
      <c r="E57" s="147">
        <f>[58]Folha1!$I$53</f>
        <v>738069.3</v>
      </c>
      <c r="F57" s="147">
        <f t="shared" si="13"/>
        <v>33909</v>
      </c>
      <c r="G57" s="146">
        <f t="shared" si="5"/>
        <v>2.070644211986568E-3</v>
      </c>
      <c r="H57" s="148">
        <f>'[6]Mensais 07-12 MOD''s'!H$9</f>
        <v>104186.83860065979</v>
      </c>
      <c r="I57" s="149">
        <f t="shared" si="9"/>
        <v>0.14116132265718109</v>
      </c>
      <c r="J57" s="148">
        <f t="shared" si="6"/>
        <v>3.0725423516075314</v>
      </c>
      <c r="K57" s="150">
        <f>'[6]Mensais 07-12 MOD''s'!H$15</f>
        <v>68463.642870522206</v>
      </c>
      <c r="L57" s="151">
        <f t="shared" si="10"/>
        <v>9.276045334838097E-2</v>
      </c>
      <c r="M57" s="150">
        <f t="shared" si="0"/>
        <v>2.0190404574160903</v>
      </c>
      <c r="N57" s="152">
        <f>'[6]Mensais 07-12 MOD''s'!H$21</f>
        <v>0</v>
      </c>
      <c r="O57" s="153">
        <f t="shared" si="11"/>
        <v>0</v>
      </c>
      <c r="P57" s="152">
        <f t="shared" si="1"/>
        <v>0</v>
      </c>
      <c r="Q57" s="147">
        <f>SUM('[6]Mensais 07-12 MOD''s'!H9,'[6]Mensais 07-12 MOD''s'!H15,'[6]Mensais 07-12 MOD''s'!H21)</f>
        <v>172650.48147118199</v>
      </c>
      <c r="R57" s="147">
        <f t="shared" si="7"/>
        <v>0.23392177600556205</v>
      </c>
      <c r="S57" s="154">
        <f t="shared" si="2"/>
        <v>5.0915828090236221</v>
      </c>
      <c r="T57" s="155"/>
      <c r="U57" s="138"/>
      <c r="AT57" s="144"/>
      <c r="AU57" s="145" t="s">
        <v>54</v>
      </c>
      <c r="AV57" s="157">
        <f t="shared" si="3"/>
        <v>5.0915828090236221</v>
      </c>
      <c r="AW57" s="154">
        <f t="shared" si="4"/>
        <v>738069.3</v>
      </c>
      <c r="BJ57" s="123">
        <v>2008</v>
      </c>
      <c r="BK57" s="177">
        <f>AVERAGE(AW23,AW25)</f>
        <v>720292.10000000009</v>
      </c>
      <c r="BL57" s="177">
        <f>AVERAGE(AV23,AV25)</f>
        <v>6.2396666738437947</v>
      </c>
    </row>
    <row r="58" spans="2:66" x14ac:dyDescent="0.25">
      <c r="B58" s="144"/>
      <c r="C58" s="145" t="s">
        <v>55</v>
      </c>
      <c r="D58" s="146">
        <f>[59]Folha1!$I$49</f>
        <v>70.192348147492794</v>
      </c>
      <c r="E58" s="147">
        <f>[59]Folha1!$I$53</f>
        <v>714045.70000000007</v>
      </c>
      <c r="F58" s="147">
        <f t="shared" si="13"/>
        <v>33909</v>
      </c>
      <c r="G58" s="146">
        <f t="shared" si="5"/>
        <v>2.0700211786691671E-3</v>
      </c>
      <c r="H58" s="148">
        <f>'[6]Mensais 07-12 MOD''s'!I$9</f>
        <v>101061.09400405805</v>
      </c>
      <c r="I58" s="149">
        <f t="shared" si="9"/>
        <v>0.14153308955443333</v>
      </c>
      <c r="J58" s="148">
        <f t="shared" si="6"/>
        <v>2.9803619689185186</v>
      </c>
      <c r="K58" s="150">
        <f>'[6]Mensais 07-12 MOD''s'!I$15</f>
        <v>66053.565277038433</v>
      </c>
      <c r="L58" s="151">
        <f t="shared" si="10"/>
        <v>9.2506075279269143E-2</v>
      </c>
      <c r="M58" s="150">
        <f t="shared" si="0"/>
        <v>1.9479655925281911</v>
      </c>
      <c r="N58" s="152">
        <f>'[6]Mensais 07-12 MOD''s'!I$21</f>
        <v>0</v>
      </c>
      <c r="O58" s="153">
        <f t="shared" si="11"/>
        <v>0</v>
      </c>
      <c r="P58" s="152">
        <f t="shared" si="1"/>
        <v>0</v>
      </c>
      <c r="Q58" s="147">
        <f>SUM('[6]Mensais 07-12 MOD''s'!I9,'[6]Mensais 07-12 MOD''s'!I15,'[6]Mensais 07-12 MOD''s'!I21)</f>
        <v>167114.65928109648</v>
      </c>
      <c r="R58" s="147">
        <f t="shared" si="7"/>
        <v>0.23403916483370246</v>
      </c>
      <c r="S58" s="154">
        <f t="shared" si="2"/>
        <v>4.9283275614467099</v>
      </c>
      <c r="T58" s="155"/>
      <c r="U58" s="138"/>
      <c r="AT58" s="144"/>
      <c r="AU58" s="145" t="s">
        <v>55</v>
      </c>
      <c r="AV58" s="157">
        <f t="shared" si="3"/>
        <v>4.9283275614467099</v>
      </c>
      <c r="AW58" s="154">
        <f t="shared" si="4"/>
        <v>714045.70000000007</v>
      </c>
      <c r="BJ58" s="123">
        <v>2009</v>
      </c>
      <c r="BK58" s="177">
        <f>AVERAGE(AW35,AW37)</f>
        <v>718632.25</v>
      </c>
      <c r="BL58" s="177">
        <f>AVERAGE(AV35,AV37)</f>
        <v>5.6006900265505042</v>
      </c>
    </row>
    <row r="59" spans="2:66" x14ac:dyDescent="0.25">
      <c r="B59" s="144"/>
      <c r="C59" s="145" t="s">
        <v>56</v>
      </c>
      <c r="D59" s="146">
        <f>[60]Folha1!$I$49</f>
        <v>68.522715921836337</v>
      </c>
      <c r="E59" s="147">
        <f>[60]Folha1!$I$53</f>
        <v>720296.4</v>
      </c>
      <c r="F59" s="147">
        <f t="shared" si="13"/>
        <v>33909</v>
      </c>
      <c r="G59" s="146">
        <f t="shared" si="5"/>
        <v>2.0207825627956101E-3</v>
      </c>
      <c r="H59" s="148">
        <f>'[6]Mensais 07-12 MOD''s'!J$9</f>
        <v>98711.818538541949</v>
      </c>
      <c r="I59" s="149">
        <f t="shared" si="9"/>
        <v>0.13704333179860673</v>
      </c>
      <c r="J59" s="148">
        <f t="shared" si="6"/>
        <v>2.9110802010835455</v>
      </c>
      <c r="K59" s="150">
        <f>'[6]Mensais 07-12 MOD''s'!J$15</f>
        <v>67814.422192386279</v>
      </c>
      <c r="L59" s="151">
        <f t="shared" si="10"/>
        <v>9.4147939920824639E-2</v>
      </c>
      <c r="M59" s="150">
        <f t="shared" si="0"/>
        <v>1.9998944879644425</v>
      </c>
      <c r="N59" s="152">
        <f>'[6]Mensais 07-12 MOD''s'!J$21</f>
        <v>0</v>
      </c>
      <c r="O59" s="153">
        <f t="shared" si="11"/>
        <v>0</v>
      </c>
      <c r="P59" s="152">
        <f t="shared" si="1"/>
        <v>0</v>
      </c>
      <c r="Q59" s="147">
        <f>SUM('[6]Mensais 07-12 MOD''s'!J9,'[6]Mensais 07-12 MOD''s'!J15,'[6]Mensais 07-12 MOD''s'!J21)</f>
        <v>166526.24073092823</v>
      </c>
      <c r="R59" s="147">
        <f t="shared" si="7"/>
        <v>0.23119127171943138</v>
      </c>
      <c r="S59" s="154">
        <f t="shared" si="2"/>
        <v>4.910974689047988</v>
      </c>
      <c r="T59" s="155"/>
      <c r="U59" s="138"/>
      <c r="AT59" s="144"/>
      <c r="AU59" s="145" t="s">
        <v>56</v>
      </c>
      <c r="AV59" s="157">
        <f t="shared" si="3"/>
        <v>4.910974689047988</v>
      </c>
      <c r="AW59" s="154">
        <f t="shared" si="4"/>
        <v>720296.4</v>
      </c>
      <c r="BJ59" s="123">
        <v>2010</v>
      </c>
      <c r="BK59" s="177">
        <f>AVERAGE(AW47,AW49)</f>
        <v>721607.89999999991</v>
      </c>
      <c r="BL59" s="177">
        <f>AVERAGE(AV47,AV49)</f>
        <v>5.7712304876205085</v>
      </c>
    </row>
    <row r="60" spans="2:66" x14ac:dyDescent="0.25">
      <c r="B60" s="144"/>
      <c r="C60" s="145" t="s">
        <v>57</v>
      </c>
      <c r="D60" s="146">
        <f>[61]Folha1!$I$49</f>
        <v>66.322339011719222</v>
      </c>
      <c r="E60" s="147">
        <f>[61]Folha1!$I$53</f>
        <v>697166.5</v>
      </c>
      <c r="F60" s="147">
        <f t="shared" si="13"/>
        <v>33909</v>
      </c>
      <c r="G60" s="146">
        <f t="shared" si="5"/>
        <v>1.9558919169459206E-3</v>
      </c>
      <c r="H60" s="148">
        <f>'[6]Mensais 07-12 MOD''s'!K$9</f>
        <v>92419.752284148271</v>
      </c>
      <c r="I60" s="149">
        <f t="shared" si="9"/>
        <v>0.13256482100638553</v>
      </c>
      <c r="J60" s="148">
        <f t="shared" si="6"/>
        <v>2.7255227899421475</v>
      </c>
      <c r="K60" s="150">
        <f>'[6]Mensais 07-12 MOD''s'!K$15</f>
        <v>54112.113803559776</v>
      </c>
      <c r="L60" s="151">
        <f t="shared" si="10"/>
        <v>7.7617203069223456E-2</v>
      </c>
      <c r="M60" s="150">
        <f t="shared" si="0"/>
        <v>1.5958038810805324</v>
      </c>
      <c r="N60" s="152">
        <f>'[6]Mensais 07-12 MOD''s'!K$21</f>
        <v>0</v>
      </c>
      <c r="O60" s="153">
        <f t="shared" si="11"/>
        <v>0</v>
      </c>
      <c r="P60" s="152">
        <f t="shared" si="1"/>
        <v>0</v>
      </c>
      <c r="Q60" s="147">
        <f>SUM('[6]Mensais 07-12 MOD''s'!K9,'[6]Mensais 07-12 MOD''s'!K15,'[6]Mensais 07-12 MOD''s'!K21)</f>
        <v>146531.86608770804</v>
      </c>
      <c r="R60" s="147">
        <f t="shared" si="7"/>
        <v>0.21018202407560896</v>
      </c>
      <c r="S60" s="154">
        <f t="shared" si="2"/>
        <v>4.3213266710226792</v>
      </c>
      <c r="T60" s="155"/>
      <c r="U60" s="138"/>
      <c r="AT60" s="144"/>
      <c r="AU60" s="145" t="s">
        <v>57</v>
      </c>
      <c r="AV60" s="157">
        <f t="shared" si="3"/>
        <v>4.3213266710226792</v>
      </c>
      <c r="AW60" s="154">
        <f t="shared" si="4"/>
        <v>697166.5</v>
      </c>
      <c r="BJ60" s="123">
        <v>2011</v>
      </c>
      <c r="BK60" s="177">
        <f>AVERAGE(AW59,AW61)</f>
        <v>710689.7</v>
      </c>
      <c r="BL60" s="177">
        <f>AVERAGE(AV59,AV61)</f>
        <v>4.7805982946163859</v>
      </c>
    </row>
    <row r="61" spans="2:66" x14ac:dyDescent="0.25">
      <c r="B61" s="144"/>
      <c r="C61" s="145" t="s">
        <v>58</v>
      </c>
      <c r="D61" s="146">
        <f>[62]Folha1!$I$49</f>
        <v>68.918084677617543</v>
      </c>
      <c r="E61" s="147">
        <f>[62]Folha1!$I$53</f>
        <v>701083</v>
      </c>
      <c r="F61" s="147">
        <f t="shared" si="13"/>
        <v>33909</v>
      </c>
      <c r="G61" s="146">
        <f t="shared" si="5"/>
        <v>2.0324422624559127E-3</v>
      </c>
      <c r="H61" s="148">
        <f>'[6]Mensais 07-12 MOD''s'!L$9</f>
        <v>99628.828707465742</v>
      </c>
      <c r="I61" s="149">
        <f t="shared" si="9"/>
        <v>0.14210703826432211</v>
      </c>
      <c r="J61" s="148">
        <f t="shared" si="6"/>
        <v>2.9381234689157965</v>
      </c>
      <c r="K61" s="150">
        <f>'[6]Mensais 07-12 MOD''s'!L$15</f>
        <v>58055.545705900127</v>
      </c>
      <c r="L61" s="151">
        <f t="shared" si="10"/>
        <v>8.2808377475848266E-2</v>
      </c>
      <c r="M61" s="150">
        <f t="shared" si="0"/>
        <v>1.7120984312689884</v>
      </c>
      <c r="N61" s="152">
        <f>'[6]Mensais 07-12 MOD''s'!L$21</f>
        <v>0</v>
      </c>
      <c r="O61" s="153">
        <f t="shared" si="11"/>
        <v>0</v>
      </c>
      <c r="P61" s="152">
        <f t="shared" si="1"/>
        <v>0</v>
      </c>
      <c r="Q61" s="147">
        <f>SUM('[6]Mensais 07-12 MOD''s'!L9,'[6]Mensais 07-12 MOD''s'!L15,'[6]Mensais 07-12 MOD''s'!L21)</f>
        <v>157684.37441336588</v>
      </c>
      <c r="R61" s="147">
        <f t="shared" si="7"/>
        <v>0.22491541574017038</v>
      </c>
      <c r="S61" s="154">
        <f t="shared" si="2"/>
        <v>4.6502219001847847</v>
      </c>
      <c r="T61" s="155"/>
      <c r="U61" s="138"/>
      <c r="AT61" s="144"/>
      <c r="AU61" s="145" t="s">
        <v>58</v>
      </c>
      <c r="AV61" s="157">
        <f t="shared" si="3"/>
        <v>4.6502219001847847</v>
      </c>
      <c r="AW61" s="154">
        <f t="shared" si="4"/>
        <v>701083</v>
      </c>
      <c r="BJ61" s="123">
        <v>2012</v>
      </c>
      <c r="BK61" s="177">
        <f>AVERAGE(AW71,AW73)</f>
        <v>709887.4</v>
      </c>
      <c r="BL61" s="177">
        <f>AVERAGE(AV71,AV73)</f>
        <v>4.5428010499991469</v>
      </c>
    </row>
    <row r="62" spans="2:66" x14ac:dyDescent="0.25">
      <c r="B62" s="144"/>
      <c r="C62" s="145" t="s">
        <v>59</v>
      </c>
      <c r="D62" s="146">
        <f>[63]Folha1!$I$49</f>
        <v>70.195856271862354</v>
      </c>
      <c r="E62" s="147">
        <f>[63]Folha1!$I$53</f>
        <v>737884.1</v>
      </c>
      <c r="F62" s="147">
        <f t="shared" si="13"/>
        <v>33909</v>
      </c>
      <c r="G62" s="146">
        <f t="shared" si="5"/>
        <v>2.0701246356973771E-3</v>
      </c>
      <c r="H62" s="148">
        <f>'[6]Mensais 07-12 MOD''s'!M$9</f>
        <v>108287.06223028527</v>
      </c>
      <c r="I62" s="149">
        <f t="shared" si="9"/>
        <v>0.14675348368434185</v>
      </c>
      <c r="J62" s="148">
        <f t="shared" si="6"/>
        <v>3.1934607989113588</v>
      </c>
      <c r="K62" s="150">
        <f>'[6]Mensais 07-12 MOD''s'!M$15</f>
        <v>50327.385718332807</v>
      </c>
      <c r="L62" s="151">
        <f t="shared" si="10"/>
        <v>6.8205000918616907E-2</v>
      </c>
      <c r="M62" s="150">
        <f t="shared" si="0"/>
        <v>1.4841896168666964</v>
      </c>
      <c r="N62" s="152">
        <f>'[6]Mensais 07-12 MOD''s'!M$21</f>
        <v>0</v>
      </c>
      <c r="O62" s="153">
        <f t="shared" si="11"/>
        <v>0</v>
      </c>
      <c r="P62" s="152">
        <f t="shared" si="1"/>
        <v>0</v>
      </c>
      <c r="Q62" s="147">
        <f>SUM('[6]Mensais 07-12 MOD''s'!M9,'[6]Mensais 07-12 MOD''s'!M15,'[6]Mensais 07-12 MOD''s'!M21)</f>
        <v>158614.44794861809</v>
      </c>
      <c r="R62" s="147">
        <f t="shared" si="7"/>
        <v>0.21495848460295877</v>
      </c>
      <c r="S62" s="154">
        <f t="shared" si="2"/>
        <v>4.6776504157780554</v>
      </c>
      <c r="T62" s="155"/>
      <c r="U62" s="138"/>
      <c r="AT62" s="144"/>
      <c r="AU62" s="145" t="s">
        <v>59</v>
      </c>
      <c r="AV62" s="157">
        <f t="shared" si="3"/>
        <v>4.6776504157780554</v>
      </c>
      <c r="AW62" s="154">
        <f t="shared" si="4"/>
        <v>737884.1</v>
      </c>
    </row>
    <row r="63" spans="2:66" x14ac:dyDescent="0.25">
      <c r="B63" s="144"/>
      <c r="C63" s="145" t="s">
        <v>60</v>
      </c>
      <c r="D63" s="146">
        <f>[64]Folha1!$I$49</f>
        <v>70.168844063031443</v>
      </c>
      <c r="E63" s="147">
        <f>[64]Folha1!$I$53</f>
        <v>713806.6</v>
      </c>
      <c r="F63" s="147">
        <f t="shared" si="13"/>
        <v>33909</v>
      </c>
      <c r="G63" s="146">
        <f t="shared" si="5"/>
        <v>2.069328026866951E-3</v>
      </c>
      <c r="H63" s="148">
        <f>'[6]Mensais 07-12 MOD''s'!N$9</f>
        <v>102885.19718868876</v>
      </c>
      <c r="I63" s="149">
        <f t="shared" si="9"/>
        <v>0.14413595669847934</v>
      </c>
      <c r="J63" s="148">
        <f t="shared" si="6"/>
        <v>3.0341560408354349</v>
      </c>
      <c r="K63" s="150">
        <f>'[6]Mensais 07-12 MOD''s'!N$15</f>
        <v>17999.177000809123</v>
      </c>
      <c r="L63" s="151">
        <f t="shared" si="10"/>
        <v>2.5215761525333506E-2</v>
      </c>
      <c r="M63" s="150">
        <f t="shared" si="0"/>
        <v>0.53080825152051436</v>
      </c>
      <c r="N63" s="152">
        <f>'[6]Mensais 07-12 MOD''s'!N$21</f>
        <v>24673.6955061761</v>
      </c>
      <c r="O63" s="153">
        <f t="shared" si="11"/>
        <v>3.4566359439904451E-2</v>
      </c>
      <c r="P63" s="152">
        <f t="shared" si="1"/>
        <v>0.72764444560960517</v>
      </c>
      <c r="Q63" s="147">
        <f>SUM('[6]Mensais 07-12 MOD''s'!N9,'[6]Mensais 07-12 MOD''s'!N15,'[6]Mensais 07-12 MOD''s'!N21)</f>
        <v>145558.069695674</v>
      </c>
      <c r="R63" s="147">
        <f t="shared" si="7"/>
        <v>0.20391807766371733</v>
      </c>
      <c r="S63" s="154">
        <f t="shared" si="2"/>
        <v>4.2926087379655549</v>
      </c>
      <c r="T63" s="155"/>
      <c r="U63" s="138"/>
      <c r="AT63" s="144"/>
      <c r="AU63" s="145" t="s">
        <v>60</v>
      </c>
      <c r="AV63" s="157">
        <f t="shared" si="3"/>
        <v>4.2926087379655549</v>
      </c>
      <c r="AW63" s="154">
        <f t="shared" si="4"/>
        <v>713806.6</v>
      </c>
    </row>
    <row r="64" spans="2:66" ht="15.75" thickBot="1" x14ac:dyDescent="0.3">
      <c r="B64" s="158"/>
      <c r="C64" s="159" t="s">
        <v>61</v>
      </c>
      <c r="D64" s="160">
        <f>[65]Folha1!$I$49</f>
        <v>68.816700105310318</v>
      </c>
      <c r="E64" s="161">
        <f>[65]Folha1!$I$53</f>
        <v>723386.70000000007</v>
      </c>
      <c r="F64" s="161">
        <f t="shared" si="13"/>
        <v>33909</v>
      </c>
      <c r="G64" s="160">
        <f t="shared" si="5"/>
        <v>2.0294523608867946E-3</v>
      </c>
      <c r="H64" s="162">
        <f>'[6]Mensais 07-12 MOD''s'!O$9</f>
        <v>101124.67324967906</v>
      </c>
      <c r="I64" s="163">
        <f t="shared" si="9"/>
        <v>0.1397933819486577</v>
      </c>
      <c r="J64" s="162">
        <f t="shared" si="6"/>
        <v>2.9822369651030423</v>
      </c>
      <c r="K64" s="164">
        <f>'[6]Mensais 07-12 MOD''s'!O$15</f>
        <v>17651.447</v>
      </c>
      <c r="L64" s="165">
        <f t="shared" si="10"/>
        <v>2.4401121834283099E-2</v>
      </c>
      <c r="M64" s="164">
        <f t="shared" si="0"/>
        <v>0.52055345188592994</v>
      </c>
      <c r="N64" s="166">
        <f>'[6]Mensais 07-12 MOD''s'!O$21</f>
        <v>37216.564411162777</v>
      </c>
      <c r="O64" s="167">
        <f t="shared" si="11"/>
        <v>5.144767578829245E-2</v>
      </c>
      <c r="P64" s="166">
        <f t="shared" si="1"/>
        <v>1.0975423755098286</v>
      </c>
      <c r="Q64" s="161">
        <f>SUM('[6]Mensais 07-12 MOD''s'!O9,'[6]Mensais 07-12 MOD''s'!O15,'[6]Mensais 07-12 MOD''s'!O21)</f>
        <v>155992.68466084183</v>
      </c>
      <c r="R64" s="161">
        <f t="shared" si="7"/>
        <v>0.21564217957123322</v>
      </c>
      <c r="S64" s="168">
        <f t="shared" si="2"/>
        <v>4.6003327924988007</v>
      </c>
      <c r="T64" s="155"/>
      <c r="U64" s="138"/>
      <c r="AT64" s="158"/>
      <c r="AU64" s="159" t="s">
        <v>61</v>
      </c>
      <c r="AV64" s="169">
        <f t="shared" si="3"/>
        <v>4.6003327924988007</v>
      </c>
      <c r="AW64" s="168">
        <f t="shared" si="4"/>
        <v>723386.70000000007</v>
      </c>
    </row>
    <row r="65" spans="2:64" x14ac:dyDescent="0.25">
      <c r="B65" s="125">
        <v>2012</v>
      </c>
      <c r="C65" s="170" t="s">
        <v>48</v>
      </c>
      <c r="D65" s="171">
        <f>[66]Folha1!$I$49</f>
        <v>69.159867158685628</v>
      </c>
      <c r="E65" s="172">
        <f>[66]Folha1!$I$53</f>
        <v>726994</v>
      </c>
      <c r="F65" s="172">
        <f t="shared" si="13"/>
        <v>33909</v>
      </c>
      <c r="G65" s="171">
        <f t="shared" si="5"/>
        <v>2.0395725960271793E-3</v>
      </c>
      <c r="H65" s="130">
        <f>'[6]Mensais 07-12 MOD''s'!D$10</f>
        <v>102084.16939617167</v>
      </c>
      <c r="I65" s="173">
        <f t="shared" si="9"/>
        <v>0.14041954871177983</v>
      </c>
      <c r="J65" s="130">
        <f t="shared" si="6"/>
        <v>3.0105331739706762</v>
      </c>
      <c r="K65" s="132">
        <f>'[6]Mensais 07-12 MOD''s'!D$16</f>
        <v>21801.986999819092</v>
      </c>
      <c r="L65" s="174">
        <f t="shared" si="10"/>
        <v>2.9989225495422371E-2</v>
      </c>
      <c r="M65" s="132">
        <f t="shared" si="0"/>
        <v>0.64295576395113663</v>
      </c>
      <c r="N65" s="134">
        <f>'[6]Mensais 07-12 MOD''s'!D$22</f>
        <v>42305.942468414003</v>
      </c>
      <c r="O65" s="175">
        <f t="shared" si="11"/>
        <v>5.8192973351106063E-2</v>
      </c>
      <c r="P65" s="134">
        <f t="shared" si="1"/>
        <v>1.2476316750247427</v>
      </c>
      <c r="Q65" s="172">
        <f>SUM('[6]Mensais 07-12 MOD''s'!D10,'[6]Mensais 07-12 MOD''s'!D16,'[6]Mensais 07-12 MOD''s'!D22)</f>
        <v>166192.09886440475</v>
      </c>
      <c r="R65" s="172">
        <f t="shared" si="7"/>
        <v>0.22860174755830825</v>
      </c>
      <c r="S65" s="143">
        <f t="shared" si="2"/>
        <v>4.9011206129465554</v>
      </c>
      <c r="T65" s="155"/>
      <c r="U65" s="138"/>
      <c r="AT65" s="125">
        <v>2012</v>
      </c>
      <c r="AU65" s="170" t="s">
        <v>48</v>
      </c>
      <c r="AV65" s="142">
        <f t="shared" si="3"/>
        <v>4.9011206129465554</v>
      </c>
      <c r="AW65" s="143">
        <f t="shared" si="4"/>
        <v>726994</v>
      </c>
    </row>
    <row r="66" spans="2:64" x14ac:dyDescent="0.25">
      <c r="B66" s="144"/>
      <c r="C66" s="145" t="s">
        <v>50</v>
      </c>
      <c r="D66" s="146">
        <f>[67]Folha1!$I$49</f>
        <v>70.314543692499498</v>
      </c>
      <c r="E66" s="147">
        <f>[67]Folha1!$I$53</f>
        <v>691445.8</v>
      </c>
      <c r="F66" s="147">
        <f t="shared" si="13"/>
        <v>33909</v>
      </c>
      <c r="G66" s="146">
        <f t="shared" si="5"/>
        <v>2.0736248103010854E-3</v>
      </c>
      <c r="H66" s="148">
        <f>'[6]Mensais 07-12 MOD''s'!E$10</f>
        <v>95825.384622570142</v>
      </c>
      <c r="I66" s="149">
        <f t="shared" si="9"/>
        <v>0.13858697908436227</v>
      </c>
      <c r="J66" s="148">
        <f t="shared" si="6"/>
        <v>2.8259572568512827</v>
      </c>
      <c r="K66" s="150">
        <f>'[6]Mensais 07-12 MOD''s'!E$16</f>
        <v>26951.720583988208</v>
      </c>
      <c r="L66" s="151">
        <f t="shared" si="10"/>
        <v>3.8978789926828981E-2</v>
      </c>
      <c r="M66" s="150">
        <f t="shared" si="0"/>
        <v>0.79482498994332507</v>
      </c>
      <c r="N66" s="152">
        <f>'[6]Mensais 07-12 MOD''s'!E$22</f>
        <v>52677.02819739603</v>
      </c>
      <c r="O66" s="153">
        <f t="shared" si="11"/>
        <v>7.6183886282042673E-2</v>
      </c>
      <c r="P66" s="152">
        <f t="shared" si="1"/>
        <v>1.5534822081865001</v>
      </c>
      <c r="Q66" s="147">
        <f>SUM('[6]Mensais 07-12 MOD''s'!E10,'[6]Mensais 07-12 MOD''s'!E16,'[6]Mensais 07-12 MOD''s'!E22)</f>
        <v>175454.13340395439</v>
      </c>
      <c r="R66" s="147">
        <f t="shared" si="7"/>
        <v>0.25374965529323396</v>
      </c>
      <c r="S66" s="154">
        <f t="shared" si="2"/>
        <v>5.1742644549811079</v>
      </c>
      <c r="T66" s="155"/>
      <c r="U66" s="138"/>
      <c r="AT66" s="144"/>
      <c r="AU66" s="145" t="s">
        <v>50</v>
      </c>
      <c r="AV66" s="157">
        <f t="shared" si="3"/>
        <v>5.1742644549811079</v>
      </c>
      <c r="AW66" s="154">
        <f t="shared" si="4"/>
        <v>691445.8</v>
      </c>
    </row>
    <row r="67" spans="2:64" x14ac:dyDescent="0.25">
      <c r="B67" s="144"/>
      <c r="C67" s="145" t="s">
        <v>52</v>
      </c>
      <c r="D67" s="146">
        <f>[68]Folha1!$I$49</f>
        <v>69.457742211364575</v>
      </c>
      <c r="E67" s="147">
        <f>[68]Folha1!$I$53</f>
        <v>730125.20000000007</v>
      </c>
      <c r="F67" s="147">
        <f t="shared" si="13"/>
        <v>33909</v>
      </c>
      <c r="G67" s="146">
        <f t="shared" si="5"/>
        <v>2.0483571385580398E-3</v>
      </c>
      <c r="H67" s="148">
        <f>'[6]Mensais 07-12 MOD''s'!F$10</f>
        <v>100668.95974131358</v>
      </c>
      <c r="I67" s="149">
        <f t="shared" si="9"/>
        <v>0.13787903737785459</v>
      </c>
      <c r="J67" s="148">
        <f t="shared" si="6"/>
        <v>2.968797656708059</v>
      </c>
      <c r="K67" s="150">
        <f>'[6]Mensais 07-12 MOD''s'!F$16</f>
        <v>31463.623331328385</v>
      </c>
      <c r="L67" s="151">
        <f t="shared" si="10"/>
        <v>4.3093463054457486E-2</v>
      </c>
      <c r="M67" s="150">
        <f t="shared" si="0"/>
        <v>0.92788414082775617</v>
      </c>
      <c r="N67" s="152">
        <f>'[6]Mensais 07-12 MOD''s'!F$22</f>
        <v>13009.282015054469</v>
      </c>
      <c r="O67" s="153">
        <f t="shared" si="11"/>
        <v>1.7817878379015637E-2</v>
      </c>
      <c r="P67" s="152">
        <f t="shared" si="1"/>
        <v>0.38365277699296552</v>
      </c>
      <c r="Q67" s="147">
        <f>SUM('[6]Mensais 07-12 MOD''s'!F10,'[6]Mensais 07-12 MOD''s'!F16,'[6]Mensais 07-12 MOD''s'!F22)</f>
        <v>145141.86508769641</v>
      </c>
      <c r="R67" s="147">
        <f t="shared" si="7"/>
        <v>0.19879037881132769</v>
      </c>
      <c r="S67" s="154">
        <f t="shared" si="2"/>
        <v>4.28033457452878</v>
      </c>
      <c r="T67" s="155"/>
      <c r="U67" s="138"/>
      <c r="AT67" s="144"/>
      <c r="AU67" s="145" t="s">
        <v>52</v>
      </c>
      <c r="AV67" s="157">
        <f t="shared" si="3"/>
        <v>4.28033457452878</v>
      </c>
      <c r="AW67" s="154">
        <f t="shared" si="4"/>
        <v>730125.20000000007</v>
      </c>
    </row>
    <row r="68" spans="2:64" x14ac:dyDescent="0.25">
      <c r="B68" s="144"/>
      <c r="C68" s="145" t="s">
        <v>53</v>
      </c>
      <c r="D68" s="146">
        <f>[69]Folha1!$I$49</f>
        <v>69.591838941480631</v>
      </c>
      <c r="E68" s="147">
        <f>[69]Folha1!$I$53</f>
        <v>707936.9</v>
      </c>
      <c r="F68" s="147">
        <f t="shared" si="13"/>
        <v>33909</v>
      </c>
      <c r="G68" s="146">
        <f t="shared" si="5"/>
        <v>2.0523117444183146E-3</v>
      </c>
      <c r="H68" s="148">
        <f>'[6]Mensais 07-12 MOD''s'!G$10</f>
        <v>99128.59580209585</v>
      </c>
      <c r="I68" s="149">
        <f t="shared" si="9"/>
        <v>0.14002462055883208</v>
      </c>
      <c r="J68" s="148">
        <f t="shared" si="6"/>
        <v>2.9233712525316538</v>
      </c>
      <c r="K68" s="150">
        <f>'[6]Mensais 07-12 MOD''s'!G$16</f>
        <v>29082.744317511064</v>
      </c>
      <c r="L68" s="151">
        <f t="shared" si="10"/>
        <v>4.1080983796029084E-2</v>
      </c>
      <c r="M68" s="150">
        <f t="shared" si="0"/>
        <v>0.85767036236724947</v>
      </c>
      <c r="N68" s="152">
        <f>'[6]Mensais 07-12 MOD''s'!G$22</f>
        <v>6876.6129671801809</v>
      </c>
      <c r="O68" s="153">
        <f t="shared" si="11"/>
        <v>9.7135958970074598E-3</v>
      </c>
      <c r="P68" s="152">
        <f t="shared" si="1"/>
        <v>0.20279610036215107</v>
      </c>
      <c r="Q68" s="147">
        <f>SUM('[6]Mensais 07-12 MOD''s'!G10,'[6]Mensais 07-12 MOD''s'!G16,'[6]Mensais 07-12 MOD''s'!G22)</f>
        <v>135087.95308678711</v>
      </c>
      <c r="R68" s="147">
        <f t="shared" si="7"/>
        <v>0.19081920025186863</v>
      </c>
      <c r="S68" s="154">
        <f t="shared" si="2"/>
        <v>3.9838377152610547</v>
      </c>
      <c r="T68" s="155"/>
      <c r="U68" s="138"/>
      <c r="AT68" s="144"/>
      <c r="AU68" s="145" t="s">
        <v>53</v>
      </c>
      <c r="AV68" s="157">
        <f t="shared" si="3"/>
        <v>3.9838377152610547</v>
      </c>
      <c r="AW68" s="154">
        <f t="shared" si="4"/>
        <v>707936.9</v>
      </c>
    </row>
    <row r="69" spans="2:64" x14ac:dyDescent="0.25">
      <c r="B69" s="144"/>
      <c r="C69" s="145" t="s">
        <v>54</v>
      </c>
      <c r="D69" s="146">
        <f>[70]Folha1!$I$49</f>
        <v>69.547498570652579</v>
      </c>
      <c r="E69" s="147">
        <f>[70]Folha1!$I$53</f>
        <v>731068.70000000007</v>
      </c>
      <c r="F69" s="147">
        <f t="shared" si="13"/>
        <v>33909</v>
      </c>
      <c r="G69" s="146">
        <f t="shared" si="5"/>
        <v>2.051004116035642E-3</v>
      </c>
      <c r="H69" s="148">
        <f>'[6]Mensais 07-12 MOD''s'!H$10</f>
        <v>100930.7997317978</v>
      </c>
      <c r="I69" s="149">
        <f t="shared" si="9"/>
        <v>0.13805925452942766</v>
      </c>
      <c r="J69" s="148">
        <f t="shared" si="6"/>
        <v>2.9765195001857263</v>
      </c>
      <c r="K69" s="150">
        <f>'[6]Mensais 07-12 MOD''s'!H$16</f>
        <v>47867.52780650444</v>
      </c>
      <c r="L69" s="151">
        <f t="shared" si="10"/>
        <v>6.5476100681788774E-2</v>
      </c>
      <c r="M69" s="150">
        <f t="shared" ref="M69:M76" si="14">K69/F69</f>
        <v>1.411646695759369</v>
      </c>
      <c r="N69" s="152">
        <f>'[6]Mensais 07-12 MOD''s'!H$22</f>
        <v>1803.5368802055968</v>
      </c>
      <c r="O69" s="153">
        <f t="shared" si="11"/>
        <v>2.4669868648535993E-3</v>
      </c>
      <c r="P69" s="152">
        <f t="shared" ref="P69:P76" si="15">N69/F69</f>
        <v>5.3187557291739566E-2</v>
      </c>
      <c r="Q69" s="147">
        <f>SUM('[6]Mensais 07-12 MOD''s'!H10,'[6]Mensais 07-12 MOD''s'!H16,'[6]Mensais 07-12 MOD''s'!H22)</f>
        <v>150601.86441850782</v>
      </c>
      <c r="R69" s="147">
        <f t="shared" si="7"/>
        <v>0.20600234207607002</v>
      </c>
      <c r="S69" s="154">
        <f t="shared" ref="S69:S76" si="16">Q69/F69</f>
        <v>4.4413537532368341</v>
      </c>
      <c r="T69" s="155"/>
      <c r="U69" s="138"/>
      <c r="AT69" s="144"/>
      <c r="AU69" s="145" t="s">
        <v>54</v>
      </c>
      <c r="AV69" s="157">
        <f t="shared" ref="AV69:AV76" si="17">S69</f>
        <v>4.4413537532368341</v>
      </c>
      <c r="AW69" s="154">
        <f t="shared" ref="AW69:AW76" si="18">E69</f>
        <v>731068.70000000007</v>
      </c>
    </row>
    <row r="70" spans="2:64" x14ac:dyDescent="0.25">
      <c r="B70" s="144"/>
      <c r="C70" s="145" t="s">
        <v>55</v>
      </c>
      <c r="D70" s="146">
        <f>[71]Folha1!$I$49</f>
        <v>69.426120892191861</v>
      </c>
      <c r="E70" s="147">
        <f>[71]Folha1!$I$53</f>
        <v>706251.10000000009</v>
      </c>
      <c r="F70" s="147">
        <f t="shared" si="13"/>
        <v>33909</v>
      </c>
      <c r="G70" s="146">
        <f t="shared" ref="G70:G76" si="19">D70/F70</f>
        <v>2.0474246038571431E-3</v>
      </c>
      <c r="H70" s="148">
        <f>'[6]Mensais 07-12 MOD''s'!I$10</f>
        <v>93370.232719600055</v>
      </c>
      <c r="I70" s="149">
        <f t="shared" si="9"/>
        <v>0.13220543333610388</v>
      </c>
      <c r="J70" s="148">
        <f t="shared" ref="J70:J76" si="20">H70/F70</f>
        <v>2.7535531192190881</v>
      </c>
      <c r="K70" s="150">
        <f>'[6]Mensais 07-12 MOD''s'!I$16</f>
        <v>51345.16662380792</v>
      </c>
      <c r="L70" s="151">
        <f t="shared" si="10"/>
        <v>7.2701007649839999E-2</v>
      </c>
      <c r="M70" s="150">
        <f t="shared" si="14"/>
        <v>1.5142046838245871</v>
      </c>
      <c r="N70" s="152">
        <f>'[6]Mensais 07-12 MOD''s'!I$22</f>
        <v>0</v>
      </c>
      <c r="O70" s="153">
        <f t="shared" si="11"/>
        <v>0</v>
      </c>
      <c r="P70" s="152">
        <f t="shared" si="15"/>
        <v>0</v>
      </c>
      <c r="Q70" s="147">
        <f>SUM('[6]Mensais 07-12 MOD''s'!I10,'[6]Mensais 07-12 MOD''s'!I16,'[6]Mensais 07-12 MOD''s'!I22)</f>
        <v>144715.39934340797</v>
      </c>
      <c r="R70" s="147">
        <f t="shared" ref="R70:R76" si="21">Q70/E70</f>
        <v>0.20490644098594388</v>
      </c>
      <c r="S70" s="154">
        <f t="shared" si="16"/>
        <v>4.2677578030436747</v>
      </c>
      <c r="T70" s="155"/>
      <c r="U70" s="138"/>
      <c r="AT70" s="144"/>
      <c r="AU70" s="145" t="s">
        <v>55</v>
      </c>
      <c r="AV70" s="157">
        <f t="shared" si="17"/>
        <v>4.2677578030436747</v>
      </c>
      <c r="AW70" s="154">
        <f t="shared" si="18"/>
        <v>706251.10000000009</v>
      </c>
    </row>
    <row r="71" spans="2:64" x14ac:dyDescent="0.25">
      <c r="B71" s="144"/>
      <c r="C71" s="145" t="s">
        <v>56</v>
      </c>
      <c r="D71" s="146">
        <f>[72]Folha1!$I$49</f>
        <v>68.081953691997271</v>
      </c>
      <c r="E71" s="147">
        <f>[72]Folha1!$I$53</f>
        <v>715663.20000000007</v>
      </c>
      <c r="F71" s="147">
        <f t="shared" si="13"/>
        <v>33909</v>
      </c>
      <c r="G71" s="146">
        <f t="shared" si="19"/>
        <v>2.0077841780057589E-3</v>
      </c>
      <c r="H71" s="148">
        <f>'[6]Mensais 07-12 MOD''s'!J$10</f>
        <v>91202.074731917513</v>
      </c>
      <c r="I71" s="149">
        <f t="shared" ref="I71:I76" si="22">H71/E71</f>
        <v>0.12743714463998917</v>
      </c>
      <c r="J71" s="148">
        <f t="shared" si="20"/>
        <v>2.6896126318062317</v>
      </c>
      <c r="K71" s="150">
        <f>'[6]Mensais 07-12 MOD''s'!J$16</f>
        <v>61483.830801096221</v>
      </c>
      <c r="L71" s="151">
        <f t="shared" ref="L71:L76" si="23">K71/E71</f>
        <v>8.5911684156871851E-2</v>
      </c>
      <c r="M71" s="150">
        <f t="shared" si="14"/>
        <v>1.8132009437345902</v>
      </c>
      <c r="N71" s="152">
        <f>'[6]Mensais 07-12 MOD''s'!J$22</f>
        <v>0</v>
      </c>
      <c r="O71" s="153">
        <f t="shared" ref="O71:O76" si="24">N71/E71</f>
        <v>0</v>
      </c>
      <c r="P71" s="152">
        <f t="shared" si="15"/>
        <v>0</v>
      </c>
      <c r="Q71" s="147">
        <f>SUM('[6]Mensais 07-12 MOD''s'!J10,'[6]Mensais 07-12 MOD''s'!J16,'[6]Mensais 07-12 MOD''s'!J22)</f>
        <v>152685.90553301375</v>
      </c>
      <c r="R71" s="147">
        <f t="shared" si="21"/>
        <v>0.21334882879686107</v>
      </c>
      <c r="S71" s="154">
        <f t="shared" si="16"/>
        <v>4.5028135755408227</v>
      </c>
      <c r="T71" s="155"/>
      <c r="U71" s="138"/>
      <c r="AT71" s="144"/>
      <c r="AU71" s="145" t="s">
        <v>56</v>
      </c>
      <c r="AV71" s="157">
        <f t="shared" si="17"/>
        <v>4.5028135755408227</v>
      </c>
      <c r="AW71" s="154">
        <f t="shared" si="18"/>
        <v>715663.20000000007</v>
      </c>
      <c r="BJ71" s="123" t="s">
        <v>30</v>
      </c>
      <c r="BK71" s="123" t="s">
        <v>47</v>
      </c>
      <c r="BL71" s="123" t="s">
        <v>37</v>
      </c>
    </row>
    <row r="72" spans="2:64" x14ac:dyDescent="0.25">
      <c r="B72" s="144"/>
      <c r="C72" s="145" t="s">
        <v>57</v>
      </c>
      <c r="D72" s="146">
        <f>[73]Folha1!$I$49</f>
        <v>64.082663371319256</v>
      </c>
      <c r="E72" s="147">
        <f>[73]Folha1!$I$53</f>
        <v>673623.5</v>
      </c>
      <c r="F72" s="147">
        <f t="shared" si="13"/>
        <v>33909</v>
      </c>
      <c r="G72" s="146">
        <f t="shared" si="19"/>
        <v>1.8898423242006328E-3</v>
      </c>
      <c r="H72" s="148">
        <f>'[6]Mensais 07-12 MOD''s'!K$10</f>
        <v>73963.293922081488</v>
      </c>
      <c r="I72" s="149">
        <f t="shared" si="22"/>
        <v>0.10979915920700731</v>
      </c>
      <c r="J72" s="148">
        <f t="shared" si="20"/>
        <v>2.1812289929541269</v>
      </c>
      <c r="K72" s="150">
        <f>'[6]Mensais 07-12 MOD''s'!K$16</f>
        <v>29082.744317511064</v>
      </c>
      <c r="L72" s="151">
        <f t="shared" si="23"/>
        <v>4.3173589278745567E-2</v>
      </c>
      <c r="M72" s="150">
        <f t="shared" si="14"/>
        <v>0.85767036236724947</v>
      </c>
      <c r="N72" s="152">
        <f>'[6]Mensais 07-12 MOD''s'!K$22</f>
        <v>0</v>
      </c>
      <c r="O72" s="153">
        <f t="shared" si="24"/>
        <v>0</v>
      </c>
      <c r="P72" s="152">
        <f t="shared" si="15"/>
        <v>0</v>
      </c>
      <c r="Q72" s="147">
        <f>SUM('[6]Mensais 07-12 MOD''s'!K10,'[6]Mensais 07-12 MOD''s'!K16,'[6]Mensais 07-12 MOD''s'!K22)</f>
        <v>103046.03823959256</v>
      </c>
      <c r="R72" s="147">
        <f t="shared" si="21"/>
        <v>0.15297274848575287</v>
      </c>
      <c r="S72" s="154">
        <f t="shared" si="16"/>
        <v>3.0388993553213766</v>
      </c>
      <c r="T72" s="155"/>
      <c r="U72" s="138"/>
      <c r="AT72" s="144"/>
      <c r="AU72" s="145" t="s">
        <v>57</v>
      </c>
      <c r="AV72" s="157">
        <f t="shared" si="17"/>
        <v>3.0388993553213766</v>
      </c>
      <c r="AW72" s="154">
        <f t="shared" si="18"/>
        <v>673623.5</v>
      </c>
      <c r="BJ72" s="123">
        <v>2007</v>
      </c>
      <c r="BK72" s="177">
        <f>AVERAGE(AW14:AW16)</f>
        <v>733404.16666666663</v>
      </c>
      <c r="BL72" s="177">
        <f>AVERAGE(AV14:AV16)</f>
        <v>6.6848207158391659</v>
      </c>
    </row>
    <row r="73" spans="2:64" x14ac:dyDescent="0.25">
      <c r="B73" s="144"/>
      <c r="C73" s="145" t="s">
        <v>58</v>
      </c>
      <c r="D73" s="146">
        <f>[74]Folha1!$I$49</f>
        <v>69.215803080794672</v>
      </c>
      <c r="E73" s="147">
        <f>[74]Folha1!$I$53</f>
        <v>704111.6</v>
      </c>
      <c r="F73" s="147">
        <f t="shared" si="13"/>
        <v>33909</v>
      </c>
      <c r="G73" s="146">
        <f t="shared" si="19"/>
        <v>2.0412221852839857E-3</v>
      </c>
      <c r="H73" s="148">
        <f>'[6]Mensais 07-12 MOD''s'!L$10</f>
        <v>91480.52804874345</v>
      </c>
      <c r="I73" s="149">
        <f t="shared" si="22"/>
        <v>0.12992333608584697</v>
      </c>
      <c r="J73" s="148">
        <f t="shared" si="20"/>
        <v>2.6978244138353666</v>
      </c>
      <c r="K73" s="150">
        <f>'[6]Mensais 07-12 MOD''s'!L$16</f>
        <v>63917.24802708489</v>
      </c>
      <c r="L73" s="151">
        <f t="shared" si="23"/>
        <v>9.0777155250793898E-2</v>
      </c>
      <c r="M73" s="150">
        <f t="shared" si="14"/>
        <v>1.8849641106221029</v>
      </c>
      <c r="N73" s="152">
        <f>'[6]Mensais 07-12 MOD''s'!L$22</f>
        <v>0</v>
      </c>
      <c r="O73" s="153">
        <f t="shared" si="24"/>
        <v>0</v>
      </c>
      <c r="P73" s="152">
        <f t="shared" si="15"/>
        <v>0</v>
      </c>
      <c r="Q73" s="147">
        <f>SUM('[6]Mensais 07-12 MOD''s'!L10,'[6]Mensais 07-12 MOD''s'!L16,'[6]Mensais 07-12 MOD''s'!L22)</f>
        <v>155397.77607582835</v>
      </c>
      <c r="R73" s="147">
        <f t="shared" si="21"/>
        <v>0.22070049133664091</v>
      </c>
      <c r="S73" s="154">
        <f t="shared" si="16"/>
        <v>4.5827885244574702</v>
      </c>
      <c r="T73" s="155"/>
      <c r="U73" s="138"/>
      <c r="AT73" s="144"/>
      <c r="AU73" s="145" t="s">
        <v>58</v>
      </c>
      <c r="AV73" s="157">
        <f t="shared" si="17"/>
        <v>4.5827885244574702</v>
      </c>
      <c r="AW73" s="154">
        <f t="shared" si="18"/>
        <v>704111.6</v>
      </c>
      <c r="BJ73" s="123">
        <v>2008</v>
      </c>
      <c r="BK73" s="177">
        <f>AVERAGE(AW26:AW28)</f>
        <v>730909.91666666663</v>
      </c>
      <c r="BL73" s="177">
        <f>AVERAGE(AV26:AV28)</f>
        <v>6.1306033806244606</v>
      </c>
    </row>
    <row r="74" spans="2:64" x14ac:dyDescent="0.25">
      <c r="B74" s="144"/>
      <c r="C74" s="145" t="s">
        <v>59</v>
      </c>
      <c r="D74" s="146">
        <f>[75]Folha1!$I$49</f>
        <v>69.440219030250788</v>
      </c>
      <c r="E74" s="147">
        <f>[75]Folha1!$I$53</f>
        <v>729941</v>
      </c>
      <c r="F74" s="147">
        <f t="shared" si="13"/>
        <v>33909</v>
      </c>
      <c r="G74" s="146">
        <f t="shared" si="19"/>
        <v>2.0478403677563709E-3</v>
      </c>
      <c r="H74" s="148">
        <f>'[6]Mensais 07-12 MOD''s'!M$10</f>
        <v>101904.55278989873</v>
      </c>
      <c r="I74" s="149">
        <f t="shared" si="22"/>
        <v>0.13960656106438565</v>
      </c>
      <c r="J74" s="148">
        <f t="shared" si="20"/>
        <v>3.0052361552950173</v>
      </c>
      <c r="K74" s="150">
        <f>'[6]Mensais 07-12 MOD''s'!M$16</f>
        <v>45099.959966654475</v>
      </c>
      <c r="L74" s="151">
        <f t="shared" si="23"/>
        <v>6.1785760721283604E-2</v>
      </c>
      <c r="M74" s="150">
        <f t="shared" si="14"/>
        <v>1.330029194805346</v>
      </c>
      <c r="N74" s="152">
        <f>'[6]Mensais 07-12 MOD''s'!M$22</f>
        <v>2521.8596259020028</v>
      </c>
      <c r="O74" s="153">
        <f t="shared" si="24"/>
        <v>3.4548814574082054E-3</v>
      </c>
      <c r="P74" s="152">
        <f t="shared" si="15"/>
        <v>7.4371394789053136E-2</v>
      </c>
      <c r="Q74" s="147">
        <f>SUM('[6]Mensais 07-12 MOD''s'!M10,'[6]Mensais 07-12 MOD''s'!M16,'[6]Mensais 07-12 MOD''s'!M22)</f>
        <v>149526.37238245521</v>
      </c>
      <c r="R74" s="147">
        <f t="shared" si="21"/>
        <v>0.20484720324307748</v>
      </c>
      <c r="S74" s="154">
        <f t="shared" si="16"/>
        <v>4.4096367448894158</v>
      </c>
      <c r="T74" s="155"/>
      <c r="U74" s="138"/>
      <c r="AT74" s="144"/>
      <c r="AU74" s="145" t="s">
        <v>59</v>
      </c>
      <c r="AV74" s="157">
        <f t="shared" si="17"/>
        <v>4.4096367448894158</v>
      </c>
      <c r="AW74" s="154">
        <f t="shared" si="18"/>
        <v>729941</v>
      </c>
      <c r="BJ74" s="123">
        <v>2009</v>
      </c>
      <c r="BK74" s="177">
        <f>AVERAGE(AW38:AW40)</f>
        <v>727088.06666666653</v>
      </c>
      <c r="BL74" s="177">
        <f>AVERAGE(AV38:AV40)</f>
        <v>5.5252233335768688</v>
      </c>
    </row>
    <row r="75" spans="2:64" x14ac:dyDescent="0.25">
      <c r="B75" s="144"/>
      <c r="C75" s="145" t="s">
        <v>60</v>
      </c>
      <c r="D75" s="146">
        <f>[76]Folha1!$I$49</f>
        <v>70.10451895760221</v>
      </c>
      <c r="E75" s="147">
        <f>[76]Folha1!$I$53</f>
        <v>713152.24</v>
      </c>
      <c r="F75" s="147">
        <f t="shared" si="13"/>
        <v>33909</v>
      </c>
      <c r="G75" s="146">
        <f t="shared" si="19"/>
        <v>2.0674310347577993E-3</v>
      </c>
      <c r="H75" s="148">
        <f>'[6]Mensais 07-12 MOD''s'!N$10</f>
        <v>108065.54092847316</v>
      </c>
      <c r="I75" s="149">
        <f t="shared" si="22"/>
        <v>0.15153221832195768</v>
      </c>
      <c r="J75" s="148">
        <f t="shared" si="20"/>
        <v>3.1869279816117597</v>
      </c>
      <c r="K75" s="150">
        <f>'[6]Mensais 07-12 MOD''s'!N$16</f>
        <v>44438.647517787555</v>
      </c>
      <c r="L75" s="151">
        <f t="shared" si="23"/>
        <v>6.2312988763503788E-2</v>
      </c>
      <c r="M75" s="150">
        <f t="shared" si="14"/>
        <v>1.3105266306227714</v>
      </c>
      <c r="N75" s="152">
        <f>'[6]Mensais 07-12 MOD''s'!N$22</f>
        <v>24001</v>
      </c>
      <c r="O75" s="153">
        <f t="shared" si="24"/>
        <v>3.3654805599432736E-2</v>
      </c>
      <c r="P75" s="152">
        <f t="shared" si="15"/>
        <v>0.70780618714795485</v>
      </c>
      <c r="Q75" s="147">
        <f>SUM('[6]Mensais 07-12 MOD''s'!N10,'[6]Mensais 07-12 MOD''s'!N16,'[6]Mensais 07-12 MOD''s'!N22)</f>
        <v>176505.1884462607</v>
      </c>
      <c r="R75" s="147">
        <f t="shared" si="21"/>
        <v>0.24750001268489419</v>
      </c>
      <c r="S75" s="154">
        <f t="shared" si="16"/>
        <v>5.2052607993824855</v>
      </c>
      <c r="T75" s="155"/>
      <c r="U75" s="138"/>
      <c r="AT75" s="144"/>
      <c r="AU75" s="145" t="s">
        <v>60</v>
      </c>
      <c r="AV75" s="157">
        <f t="shared" si="17"/>
        <v>5.2052607993824855</v>
      </c>
      <c r="AW75" s="154">
        <f t="shared" si="18"/>
        <v>713152.24</v>
      </c>
      <c r="BJ75" s="123">
        <v>2010</v>
      </c>
      <c r="BK75" s="177">
        <f>AVERAGE(AW50:AW52)</f>
        <v>727350.96666666679</v>
      </c>
      <c r="BL75" s="177">
        <f>AVERAGE(AV50:AV52)</f>
        <v>5.6306476154428386</v>
      </c>
    </row>
    <row r="76" spans="2:64" ht="15.75" thickBot="1" x14ac:dyDescent="0.3">
      <c r="B76" s="158"/>
      <c r="C76" s="159" t="s">
        <v>61</v>
      </c>
      <c r="D76" s="160">
        <f>[77]Folha1!$I$49</f>
        <v>68.503418542417606</v>
      </c>
      <c r="E76" s="161">
        <f>[77]Folha1!$I$53</f>
        <v>720093.55</v>
      </c>
      <c r="F76" s="161">
        <f t="shared" si="13"/>
        <v>33909</v>
      </c>
      <c r="G76" s="160">
        <f t="shared" si="19"/>
        <v>2.0202134696516443E-3</v>
      </c>
      <c r="H76" s="162">
        <f>'[6]Mensais 07-12 MOD''s'!O$10</f>
        <v>109538.80743228427</v>
      </c>
      <c r="I76" s="163">
        <f t="shared" si="22"/>
        <v>0.15211746783773339</v>
      </c>
      <c r="J76" s="162">
        <f t="shared" si="20"/>
        <v>3.2303756357393105</v>
      </c>
      <c r="K76" s="164">
        <f>'[6]Mensais 07-12 MOD''s'!O$16</f>
        <v>23687.909704429272</v>
      </c>
      <c r="L76" s="165">
        <f t="shared" si="23"/>
        <v>3.2895600445843838E-2</v>
      </c>
      <c r="M76" s="164">
        <f t="shared" si="14"/>
        <v>0.69857293651919172</v>
      </c>
      <c r="N76" s="166">
        <f>'[6]Mensais 07-12 MOD''s'!O$22</f>
        <v>37985.926254607424</v>
      </c>
      <c r="O76" s="167">
        <f t="shared" si="24"/>
        <v>5.2751376893470883E-2</v>
      </c>
      <c r="P76" s="166">
        <f t="shared" si="15"/>
        <v>1.1202313915068987</v>
      </c>
      <c r="Q76" s="161">
        <f>SUM('[6]Mensais 07-12 MOD''s'!O10,'[6]Mensais 07-12 MOD''s'!O16,'[6]Mensais 07-12 MOD''s'!O22)</f>
        <v>171212.64339132098</v>
      </c>
      <c r="R76" s="161">
        <f t="shared" si="21"/>
        <v>0.23776444517704812</v>
      </c>
      <c r="S76" s="168">
        <f t="shared" si="16"/>
        <v>5.0491799637654005</v>
      </c>
      <c r="T76" s="155"/>
      <c r="U76" s="138"/>
      <c r="AT76" s="158"/>
      <c r="AU76" s="159" t="s">
        <v>61</v>
      </c>
      <c r="AV76" s="169">
        <f t="shared" si="17"/>
        <v>5.0491799637654005</v>
      </c>
      <c r="AW76" s="168">
        <f t="shared" si="18"/>
        <v>720093.55</v>
      </c>
      <c r="BJ76" s="123">
        <v>2011</v>
      </c>
      <c r="BK76" s="177">
        <f>AVERAGE(AW62:AW64)</f>
        <v>725025.79999999993</v>
      </c>
      <c r="BL76" s="177">
        <f>AVERAGE(AV62:AV64)</f>
        <v>4.52353064874747</v>
      </c>
    </row>
    <row r="77" spans="2:64" x14ac:dyDescent="0.25">
      <c r="BJ77" s="123">
        <v>2012</v>
      </c>
      <c r="BK77" s="177">
        <f>AVERAGE(AW74:AW76)</f>
        <v>721062.26333333331</v>
      </c>
      <c r="BL77" s="177">
        <f>AVERAGE(AV74:AV76)</f>
        <v>4.8880258360124342</v>
      </c>
    </row>
    <row r="78" spans="2:64" x14ac:dyDescent="0.25">
      <c r="C78" s="180" t="s">
        <v>62</v>
      </c>
      <c r="D78" s="181"/>
      <c r="E78" s="182">
        <f>MAX(E5:E76)</f>
        <v>750000</v>
      </c>
      <c r="R78" s="183" t="s">
        <v>62</v>
      </c>
      <c r="S78" s="147">
        <f>MAX(S5:S76)</f>
        <v>9.9799666980437074</v>
      </c>
    </row>
    <row r="79" spans="2:64" x14ac:dyDescent="0.25">
      <c r="C79" s="180" t="s">
        <v>63</v>
      </c>
      <c r="D79" s="181"/>
      <c r="E79" s="182">
        <f>MIN(E5:E76)</f>
        <v>670330.4</v>
      </c>
    </row>
    <row r="88" spans="62:64" x14ac:dyDescent="0.25">
      <c r="BJ88" s="123"/>
      <c r="BK88" s="123"/>
      <c r="BL88" s="123"/>
    </row>
    <row r="89" spans="62:64" x14ac:dyDescent="0.25">
      <c r="BJ89" s="123"/>
      <c r="BK89" s="177"/>
      <c r="BL89" s="177"/>
    </row>
    <row r="90" spans="62:64" x14ac:dyDescent="0.25">
      <c r="BJ90" s="123"/>
      <c r="BK90" s="177"/>
      <c r="BL90" s="177"/>
    </row>
    <row r="91" spans="62:64" x14ac:dyDescent="0.25">
      <c r="BJ91" s="123"/>
      <c r="BK91" s="177"/>
      <c r="BL91" s="177"/>
    </row>
    <row r="92" spans="62:64" x14ac:dyDescent="0.25">
      <c r="BJ92" s="123"/>
      <c r="BK92" s="177"/>
      <c r="BL92" s="177"/>
    </row>
    <row r="93" spans="62:64" x14ac:dyDescent="0.25">
      <c r="BJ93" s="123"/>
      <c r="BK93" s="177"/>
      <c r="BL93" s="177"/>
    </row>
    <row r="94" spans="62:64" x14ac:dyDescent="0.25">
      <c r="BJ94" s="123"/>
      <c r="BK94" s="177"/>
      <c r="BL94" s="177"/>
    </row>
    <row r="105" spans="62:64" x14ac:dyDescent="0.25">
      <c r="BJ105" s="123"/>
      <c r="BK105" s="123"/>
      <c r="BL105" s="123"/>
    </row>
    <row r="106" spans="62:64" x14ac:dyDescent="0.25">
      <c r="BJ106" s="123"/>
      <c r="BK106" s="177"/>
      <c r="BL106" s="177"/>
    </row>
    <row r="107" spans="62:64" x14ac:dyDescent="0.25">
      <c r="BJ107" s="123"/>
      <c r="BK107" s="177"/>
      <c r="BL107" s="177"/>
    </row>
    <row r="108" spans="62:64" x14ac:dyDescent="0.25">
      <c r="BJ108" s="123"/>
      <c r="BK108" s="177"/>
      <c r="BL108" s="177"/>
    </row>
    <row r="109" spans="62:64" x14ac:dyDescent="0.25">
      <c r="BJ109" s="123"/>
      <c r="BK109" s="177"/>
      <c r="BL109" s="177"/>
    </row>
    <row r="110" spans="62:64" x14ac:dyDescent="0.25">
      <c r="BJ110" s="123"/>
      <c r="BK110" s="177"/>
      <c r="BL110" s="177"/>
    </row>
    <row r="111" spans="62:64" x14ac:dyDescent="0.25">
      <c r="BJ111" s="123"/>
      <c r="BK111" s="177"/>
      <c r="BL111" s="177"/>
    </row>
    <row r="122" spans="62:64" x14ac:dyDescent="0.25">
      <c r="BJ122" s="123"/>
      <c r="BK122" s="123"/>
      <c r="BL122" s="123"/>
    </row>
    <row r="123" spans="62:64" x14ac:dyDescent="0.25">
      <c r="BJ123" s="123"/>
      <c r="BK123" s="177"/>
      <c r="BL123" s="177"/>
    </row>
    <row r="124" spans="62:64" x14ac:dyDescent="0.25">
      <c r="BJ124" s="123"/>
      <c r="BK124" s="177"/>
      <c r="BL124" s="177"/>
    </row>
    <row r="125" spans="62:64" x14ac:dyDescent="0.25">
      <c r="BJ125" s="123"/>
      <c r="BK125" s="177"/>
      <c r="BL125" s="177"/>
    </row>
    <row r="126" spans="62:64" x14ac:dyDescent="0.25">
      <c r="BJ126" s="123"/>
      <c r="BK126" s="177"/>
      <c r="BL126" s="177"/>
    </row>
    <row r="127" spans="62:64" x14ac:dyDescent="0.25">
      <c r="BJ127" s="123"/>
      <c r="BK127" s="177"/>
      <c r="BL127" s="177"/>
    </row>
    <row r="128" spans="62:64" x14ac:dyDescent="0.25">
      <c r="BJ128" s="123"/>
      <c r="BK128" s="177"/>
      <c r="BL128" s="177"/>
    </row>
    <row r="140" spans="62:64" x14ac:dyDescent="0.25">
      <c r="BJ140" s="123"/>
      <c r="BK140" s="123"/>
      <c r="BL140" s="123"/>
    </row>
    <row r="141" spans="62:64" x14ac:dyDescent="0.25">
      <c r="BJ141" s="123"/>
      <c r="BK141" s="177"/>
      <c r="BL141" s="177"/>
    </row>
    <row r="142" spans="62:64" x14ac:dyDescent="0.25">
      <c r="BJ142" s="123"/>
      <c r="BK142" s="177"/>
      <c r="BL142" s="177"/>
    </row>
    <row r="143" spans="62:64" x14ac:dyDescent="0.25">
      <c r="BJ143" s="123"/>
      <c r="BK143" s="177"/>
      <c r="BL143" s="177"/>
    </row>
    <row r="144" spans="62:64" x14ac:dyDescent="0.25">
      <c r="BJ144" s="123"/>
      <c r="BK144" s="177"/>
      <c r="BL144" s="177"/>
    </row>
    <row r="145" spans="62:64" x14ac:dyDescent="0.25">
      <c r="BJ145" s="123"/>
      <c r="BK145" s="177"/>
      <c r="BL145" s="177"/>
    </row>
    <row r="146" spans="62:64" x14ac:dyDescent="0.25">
      <c r="BJ146" s="123"/>
      <c r="BK146" s="177"/>
      <c r="BL146" s="177"/>
    </row>
    <row r="157" spans="62:64" x14ac:dyDescent="0.25">
      <c r="BJ157" s="123"/>
      <c r="BK157" s="123"/>
      <c r="BL157" s="123"/>
    </row>
    <row r="158" spans="62:64" x14ac:dyDescent="0.25">
      <c r="BJ158" s="123"/>
      <c r="BK158" s="177"/>
      <c r="BL158" s="177"/>
    </row>
    <row r="159" spans="62:64" x14ac:dyDescent="0.25">
      <c r="BJ159" s="123"/>
      <c r="BK159" s="177"/>
      <c r="BL159" s="177"/>
    </row>
    <row r="160" spans="62:64" x14ac:dyDescent="0.25">
      <c r="BJ160" s="123"/>
      <c r="BK160" s="177"/>
      <c r="BL160" s="177"/>
    </row>
    <row r="161" spans="62:64" x14ac:dyDescent="0.25">
      <c r="BJ161" s="123"/>
      <c r="BK161" s="177"/>
      <c r="BL161" s="177"/>
    </row>
    <row r="162" spans="62:64" x14ac:dyDescent="0.25">
      <c r="BJ162" s="123"/>
      <c r="BK162" s="177"/>
      <c r="BL162" s="177"/>
    </row>
    <row r="163" spans="62:64" x14ac:dyDescent="0.25">
      <c r="BJ163" s="123"/>
      <c r="BK163" s="177"/>
      <c r="BL163" s="177"/>
    </row>
    <row r="174" spans="62:64" x14ac:dyDescent="0.25">
      <c r="BJ174" s="123"/>
      <c r="BK174" s="123"/>
      <c r="BL174" s="123"/>
    </row>
    <row r="175" spans="62:64" x14ac:dyDescent="0.25">
      <c r="BJ175" s="123"/>
      <c r="BK175" s="177"/>
      <c r="BL175" s="177"/>
    </row>
    <row r="176" spans="62:64" x14ac:dyDescent="0.25">
      <c r="BJ176" s="123"/>
      <c r="BK176" s="177"/>
      <c r="BL176" s="177"/>
    </row>
    <row r="177" spans="62:64" x14ac:dyDescent="0.25">
      <c r="BJ177" s="123"/>
      <c r="BK177" s="177"/>
      <c r="BL177" s="177"/>
    </row>
    <row r="178" spans="62:64" x14ac:dyDescent="0.25">
      <c r="BJ178" s="123"/>
      <c r="BK178" s="177"/>
      <c r="BL178" s="177"/>
    </row>
    <row r="179" spans="62:64" x14ac:dyDescent="0.25">
      <c r="BJ179" s="123"/>
      <c r="BK179" s="177"/>
      <c r="BL179" s="177"/>
    </row>
    <row r="180" spans="62:64" x14ac:dyDescent="0.25">
      <c r="BJ180" s="123"/>
      <c r="BK180" s="177"/>
      <c r="BL180" s="177"/>
    </row>
    <row r="191" spans="62:64" x14ac:dyDescent="0.25">
      <c r="BJ191" s="123"/>
      <c r="BK191" s="123"/>
      <c r="BL191" s="123"/>
    </row>
    <row r="192" spans="62:64" x14ac:dyDescent="0.25">
      <c r="BJ192" s="123"/>
      <c r="BK192" s="177"/>
      <c r="BL192" s="177"/>
    </row>
    <row r="193" spans="62:64" x14ac:dyDescent="0.25">
      <c r="BJ193" s="123"/>
      <c r="BK193" s="177"/>
      <c r="BL193" s="177"/>
    </row>
    <row r="194" spans="62:64" x14ac:dyDescent="0.25">
      <c r="BJ194" s="123"/>
      <c r="BK194" s="177"/>
      <c r="BL194" s="177"/>
    </row>
    <row r="195" spans="62:64" x14ac:dyDescent="0.25">
      <c r="BJ195" s="123"/>
      <c r="BK195" s="177"/>
      <c r="BL195" s="177"/>
    </row>
    <row r="196" spans="62:64" x14ac:dyDescent="0.25">
      <c r="BJ196" s="123"/>
      <c r="BK196" s="177"/>
      <c r="BL196" s="177"/>
    </row>
    <row r="197" spans="62:64" x14ac:dyDescent="0.25">
      <c r="BJ197" s="123"/>
      <c r="BK197" s="177"/>
      <c r="BL197" s="177"/>
    </row>
    <row r="208" spans="62:64" x14ac:dyDescent="0.25">
      <c r="BJ208" s="123"/>
      <c r="BK208" s="123"/>
      <c r="BL208" s="123"/>
    </row>
    <row r="209" spans="62:64" x14ac:dyDescent="0.25">
      <c r="BJ209" s="123"/>
      <c r="BK209" s="177"/>
      <c r="BL209" s="177"/>
    </row>
    <row r="210" spans="62:64" x14ac:dyDescent="0.25">
      <c r="BJ210" s="123"/>
      <c r="BK210" s="177"/>
      <c r="BL210" s="177"/>
    </row>
    <row r="211" spans="62:64" x14ac:dyDescent="0.25">
      <c r="BJ211" s="123"/>
      <c r="BK211" s="177"/>
      <c r="BL211" s="177"/>
    </row>
    <row r="212" spans="62:64" x14ac:dyDescent="0.25">
      <c r="BJ212" s="123"/>
      <c r="BK212" s="177"/>
      <c r="BL212" s="177"/>
    </row>
    <row r="213" spans="62:64" x14ac:dyDescent="0.25">
      <c r="BJ213" s="123"/>
      <c r="BK213" s="177"/>
      <c r="BL213" s="177"/>
    </row>
    <row r="214" spans="62:64" x14ac:dyDescent="0.25">
      <c r="BJ214" s="123"/>
      <c r="BK214" s="177"/>
      <c r="BL214" s="177"/>
    </row>
  </sheetData>
  <sheetProtection password="A926" sheet="1" formatCells="0" formatColumns="0" formatRows="0" insertColumns="0" insertRows="0" insertHyperlinks="0" deleteColumns="0" deleteRows="0" sort="0" autoFilter="0" pivotTables="0"/>
  <mergeCells count="29">
    <mergeCell ref="W1:AD2"/>
    <mergeCell ref="AH1:AP2"/>
    <mergeCell ref="AT1:BP2"/>
    <mergeCell ref="B3:B4"/>
    <mergeCell ref="C3:C4"/>
    <mergeCell ref="D3:D4"/>
    <mergeCell ref="E3:E4"/>
    <mergeCell ref="F3:F4"/>
    <mergeCell ref="AU3:AU4"/>
    <mergeCell ref="AV3:AV4"/>
    <mergeCell ref="AW3:AW4"/>
    <mergeCell ref="B17:B28"/>
    <mergeCell ref="AT17:AT28"/>
    <mergeCell ref="G3:G4"/>
    <mergeCell ref="H3:P3"/>
    <mergeCell ref="Q3:Q4"/>
    <mergeCell ref="R3:R4"/>
    <mergeCell ref="S3:S4"/>
    <mergeCell ref="AT3:AT4"/>
    <mergeCell ref="B5:B16"/>
    <mergeCell ref="AT5:AT16"/>
    <mergeCell ref="B65:B76"/>
    <mergeCell ref="AT65:AT76"/>
    <mergeCell ref="B29:B40"/>
    <mergeCell ref="AT29:AT40"/>
    <mergeCell ref="B41:B52"/>
    <mergeCell ref="AT41:AT52"/>
    <mergeCell ref="B53:B64"/>
    <mergeCell ref="AT53:AT64"/>
  </mergeCells>
  <pageMargins left="0.7" right="0.7" top="0.75" bottom="0.75" header="0.3" footer="0.3"/>
  <pageSetup paperSize="9" scale="67" orientation="portrait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AG35"/>
  <sheetViews>
    <sheetView zoomScaleNormal="100" workbookViewId="0">
      <selection activeCell="D11" sqref="D11"/>
    </sheetView>
  </sheetViews>
  <sheetFormatPr defaultRowHeight="15" x14ac:dyDescent="0.25"/>
  <cols>
    <col min="1" max="10" width="9.140625" style="1"/>
    <col min="11" max="11" width="9.140625" style="2"/>
    <col min="12" max="21" width="9.140625" style="1"/>
    <col min="22" max="22" width="9.140625" style="2"/>
    <col min="23" max="32" width="9.140625" style="1"/>
    <col min="33" max="33" width="9.140625" style="2"/>
    <col min="34" max="16384" width="9.140625" style="1"/>
  </cols>
  <sheetData>
    <row r="1" spans="2:33" ht="15" customHeight="1" x14ac:dyDescent="0.25">
      <c r="M1" s="35" t="s">
        <v>64</v>
      </c>
      <c r="N1" s="35"/>
      <c r="O1" s="35"/>
      <c r="P1" s="35"/>
      <c r="Q1" s="35"/>
      <c r="R1" s="35"/>
      <c r="S1" s="35"/>
      <c r="T1" s="35"/>
      <c r="X1" s="35" t="s">
        <v>65</v>
      </c>
      <c r="Y1" s="35"/>
      <c r="Z1" s="35"/>
      <c r="AA1" s="35"/>
      <c r="AB1" s="35"/>
      <c r="AC1" s="35"/>
      <c r="AD1" s="35"/>
      <c r="AE1" s="35"/>
    </row>
    <row r="2" spans="2:33" ht="15" customHeight="1" x14ac:dyDescent="0.25">
      <c r="M2" s="35"/>
      <c r="N2" s="35"/>
      <c r="O2" s="35"/>
      <c r="P2" s="35"/>
      <c r="Q2" s="35"/>
      <c r="R2" s="35"/>
      <c r="S2" s="35"/>
      <c r="T2" s="35"/>
      <c r="X2" s="35"/>
      <c r="Y2" s="35"/>
      <c r="Z2" s="35"/>
      <c r="AA2" s="35"/>
      <c r="AB2" s="35"/>
      <c r="AC2" s="35"/>
      <c r="AD2" s="35"/>
      <c r="AE2" s="35"/>
    </row>
    <row r="4" spans="2:33" x14ac:dyDescent="0.25">
      <c r="B4" s="36" t="s">
        <v>66</v>
      </c>
      <c r="C4" s="36"/>
      <c r="D4" s="36"/>
      <c r="E4" s="36"/>
      <c r="F4" s="36"/>
      <c r="G4" s="36"/>
      <c r="H4" s="36"/>
      <c r="I4" s="36"/>
      <c r="K4" s="3"/>
      <c r="L4" s="4"/>
      <c r="M4" s="4"/>
      <c r="N4" s="4"/>
      <c r="O4" s="4"/>
      <c r="P4" s="4"/>
      <c r="Q4" s="4"/>
      <c r="R4" s="4"/>
      <c r="S4" s="4"/>
      <c r="T4" s="4"/>
      <c r="U4" s="4"/>
      <c r="V4" s="3"/>
      <c r="W4" s="4"/>
      <c r="X4" s="4"/>
      <c r="Y4" s="4"/>
      <c r="Z4" s="4"/>
      <c r="AA4" s="4"/>
      <c r="AB4" s="4"/>
      <c r="AC4" s="4"/>
      <c r="AD4" s="4"/>
      <c r="AF4" s="4"/>
      <c r="AG4" s="3"/>
    </row>
    <row r="5" spans="2:33" ht="15.75" thickBot="1" x14ac:dyDescent="0.3">
      <c r="B5" s="34" t="s">
        <v>67</v>
      </c>
      <c r="C5" s="34"/>
      <c r="D5" s="34"/>
      <c r="E5" s="34"/>
      <c r="F5" s="34"/>
      <c r="G5" s="34"/>
      <c r="H5" s="34"/>
      <c r="I5" s="34"/>
    </row>
    <row r="6" spans="2:33" x14ac:dyDescent="0.25">
      <c r="B6" s="25" t="s">
        <v>68</v>
      </c>
      <c r="C6" s="26"/>
      <c r="D6" s="26"/>
      <c r="E6" s="27"/>
      <c r="F6" s="25" t="s">
        <v>69</v>
      </c>
      <c r="G6" s="26"/>
      <c r="H6" s="26"/>
      <c r="I6" s="27"/>
    </row>
    <row r="7" spans="2:33" ht="18" thickBot="1" x14ac:dyDescent="0.3">
      <c r="B7" s="5"/>
      <c r="C7" s="6" t="s">
        <v>31</v>
      </c>
      <c r="D7" s="7" t="s">
        <v>44</v>
      </c>
      <c r="E7" s="8" t="s">
        <v>45</v>
      </c>
      <c r="F7" s="9"/>
      <c r="G7" s="6" t="s">
        <v>31</v>
      </c>
      <c r="H7" s="7" t="s">
        <v>44</v>
      </c>
      <c r="I7" s="8" t="s">
        <v>45</v>
      </c>
    </row>
    <row r="8" spans="2:33" ht="15" customHeight="1" x14ac:dyDescent="0.25">
      <c r="B8" s="28" t="s">
        <v>70</v>
      </c>
      <c r="C8" s="10" t="s">
        <v>4</v>
      </c>
      <c r="D8" s="11">
        <f>AVERAGE([6]Regressão_1!R5,[6]Regressão_1!R17,[6]Regressão_1!R29,[6]Regressão_1!R41,[6]Regressão_1!R53)</f>
        <v>0.34419813360402596</v>
      </c>
      <c r="E8" s="12">
        <f>AVERAGE([6]Regressão_1!S5,[6]Regressão_1!S17,[6]Regressão_1!S29,[6]Regressão_1!S41,[6]Regressão_1!S53)</f>
        <v>7.4730717393500736</v>
      </c>
      <c r="F8" s="31">
        <v>12</v>
      </c>
      <c r="G8" s="10" t="s">
        <v>4</v>
      </c>
      <c r="H8" s="11">
        <f>AVERAGE([6]Regressão_1!R65)</f>
        <v>0.22860174755830825</v>
      </c>
      <c r="I8" s="12">
        <f>AVERAGE([6]Regressão_1!S65)</f>
        <v>4.9011206129465554</v>
      </c>
    </row>
    <row r="9" spans="2:33" x14ac:dyDescent="0.25">
      <c r="B9" s="29"/>
      <c r="C9" s="6" t="s">
        <v>5</v>
      </c>
      <c r="D9" s="13">
        <f>AVERAGE([6]Regressão_1!R6,[6]Regressão_1!R18,[6]Regressão_1!R30,[6]Regressão_1!R42,[6]Regressão_1!R54)</f>
        <v>0.32210053681828893</v>
      </c>
      <c r="E9" s="14">
        <f>AVERAGE([6]Regressão_1!S6,[6]Regressão_1!S18,[6]Regressão_1!S30,[6]Regressão_1!S42,[6]Regressão_1!S54)</f>
        <v>6.4670118239208705</v>
      </c>
      <c r="F9" s="32"/>
      <c r="G9" s="6" t="s">
        <v>5</v>
      </c>
      <c r="H9" s="13">
        <f>AVERAGE([6]Regressão_1!R66)</f>
        <v>0.25374965529323396</v>
      </c>
      <c r="I9" s="14">
        <f>AVERAGE([6]Regressão_1!S66)</f>
        <v>5.1742644549811079</v>
      </c>
    </row>
    <row r="10" spans="2:33" x14ac:dyDescent="0.25">
      <c r="B10" s="29"/>
      <c r="C10" s="6" t="s">
        <v>6</v>
      </c>
      <c r="D10" s="13">
        <f>AVERAGE([6]Regressão_1!R7,[6]Regressão_1!R19,[6]Regressão_1!R31,[6]Regressão_1!R43,[6]Regressão_1!R55)</f>
        <v>0.2928474072946875</v>
      </c>
      <c r="E10" s="14">
        <f>AVERAGE([6]Regressão_1!S7,[6]Regressão_1!S19,[6]Regressão_1!S31,[6]Regressão_1!S43,[6]Regressão_1!S55)</f>
        <v>6.3696417332723776</v>
      </c>
      <c r="F10" s="32"/>
      <c r="G10" s="6" t="s">
        <v>6</v>
      </c>
      <c r="H10" s="13">
        <f>AVERAGE([6]Regressão_1!R67)</f>
        <v>0.19879037881132769</v>
      </c>
      <c r="I10" s="14">
        <f>AVERAGE([6]Regressão_1!S67)</f>
        <v>4.28033457452878</v>
      </c>
    </row>
    <row r="11" spans="2:33" x14ac:dyDescent="0.25">
      <c r="B11" s="29"/>
      <c r="C11" s="6" t="s">
        <v>7</v>
      </c>
      <c r="D11" s="13">
        <f>AVERAGE([6]Regressão_1!R8,[6]Regressão_1!R20,[6]Regressão_1!R32,[6]Regressão_1!R44,[6]Regressão_1!R56)</f>
        <v>0.25292538859829761</v>
      </c>
      <c r="E11" s="14">
        <f>AVERAGE([6]Regressão_1!S8,[6]Regressão_1!S20,[6]Regressão_1!S32,[6]Regressão_1!S44,[6]Regressão_1!S56)</f>
        <v>5.3363212001982951</v>
      </c>
      <c r="F11" s="32"/>
      <c r="G11" s="6" t="s">
        <v>7</v>
      </c>
      <c r="H11" s="13">
        <f>AVERAGE([6]Regressão_1!R68)</f>
        <v>0.19081920025186863</v>
      </c>
      <c r="I11" s="14">
        <f>AVERAGE([6]Regressão_1!S68)</f>
        <v>3.9838377152610547</v>
      </c>
    </row>
    <row r="12" spans="2:33" x14ac:dyDescent="0.25">
      <c r="B12" s="29"/>
      <c r="C12" s="6" t="s">
        <v>8</v>
      </c>
      <c r="D12" s="13">
        <f>AVERAGE([6]Regressão_1!R9,[6]Regressão_1!R21,[6]Regressão_1!R33,[6]Regressão_1!R45,[6]Regressão_1!R57)</f>
        <v>0.2489801005082862</v>
      </c>
      <c r="E12" s="14">
        <f>AVERAGE([6]Regressão_1!S9,[6]Regressão_1!S21,[6]Regressão_1!S33,[6]Regressão_1!S45,[6]Regressão_1!S57)</f>
        <v>5.4543643396412858</v>
      </c>
      <c r="F12" s="32"/>
      <c r="G12" s="6" t="s">
        <v>8</v>
      </c>
      <c r="H12" s="13">
        <f>AVERAGE([6]Regressão_1!R69)</f>
        <v>0.20600234207607002</v>
      </c>
      <c r="I12" s="14">
        <f>AVERAGE([6]Regressão_1!S69)</f>
        <v>4.4413537532368341</v>
      </c>
    </row>
    <row r="13" spans="2:33" x14ac:dyDescent="0.25">
      <c r="B13" s="29"/>
      <c r="C13" s="6" t="s">
        <v>9</v>
      </c>
      <c r="D13" s="13">
        <f>AVERAGE([6]Regressão_1!R10,[6]Regressão_1!R22,[6]Regressão_1!R34,[6]Regressão_1!R46,[6]Regressão_1!R58)</f>
        <v>0.26536566913692311</v>
      </c>
      <c r="E13" s="14">
        <f>AVERAGE([6]Regressão_1!S10,[6]Regressão_1!S22,[6]Regressão_1!S34,[6]Regressão_1!S46,[6]Regressão_1!S58)</f>
        <v>5.6024599154385717</v>
      </c>
      <c r="F13" s="32"/>
      <c r="G13" s="6" t="s">
        <v>9</v>
      </c>
      <c r="H13" s="13">
        <f>AVERAGE([6]Regressão_1!R70)</f>
        <v>0.20490644098594388</v>
      </c>
      <c r="I13" s="14">
        <f>AVERAGE([6]Regressão_1!S70)</f>
        <v>4.2677578030436747</v>
      </c>
    </row>
    <row r="14" spans="2:33" x14ac:dyDescent="0.25">
      <c r="B14" s="29"/>
      <c r="C14" s="6" t="s">
        <v>10</v>
      </c>
      <c r="D14" s="13">
        <f>AVERAGE([6]Regressão_1!R11,[6]Regressão_1!R23,[6]Regressão_1!R35,[6]Regressão_1!R47,[6]Regressão_1!R59)</f>
        <v>0.27157732287837832</v>
      </c>
      <c r="E14" s="14">
        <f>AVERAGE([6]Regressão_1!S11,[6]Regressão_1!S23,[6]Regressão_1!S35,[6]Regressão_1!S47,[6]Regressão_1!S59)</f>
        <v>5.8540206693882011</v>
      </c>
      <c r="F14" s="32"/>
      <c r="G14" s="6" t="s">
        <v>10</v>
      </c>
      <c r="H14" s="13">
        <f>AVERAGE([6]Regressão_1!R71)</f>
        <v>0.21334882879686107</v>
      </c>
      <c r="I14" s="14">
        <f>AVERAGE([6]Regressão_1!S71)</f>
        <v>4.5028135755408227</v>
      </c>
    </row>
    <row r="15" spans="2:33" x14ac:dyDescent="0.25">
      <c r="B15" s="29"/>
      <c r="C15" s="6" t="s">
        <v>11</v>
      </c>
      <c r="D15" s="13">
        <f>AVERAGE([6]Regressão_1!R12,[6]Regressão_1!R24,[6]Regressão_1!R36,[6]Regressão_1!R48,[6]Regressão_1!R60)</f>
        <v>0.25346358969894961</v>
      </c>
      <c r="E15" s="14">
        <f>AVERAGE([6]Regressão_1!S12,[6]Regressão_1!S24,[6]Regressão_1!S36,[6]Regressão_1!S48,[6]Regressão_1!S60)</f>
        <v>5.2137795951209407</v>
      </c>
      <c r="F15" s="32"/>
      <c r="G15" s="6" t="s">
        <v>11</v>
      </c>
      <c r="H15" s="13">
        <f>AVERAGE([6]Regressão_1!R72)</f>
        <v>0.15297274848575287</v>
      </c>
      <c r="I15" s="14">
        <f>AVERAGE([6]Regressão_1!S72)</f>
        <v>3.0388993553213766</v>
      </c>
    </row>
    <row r="16" spans="2:33" x14ac:dyDescent="0.25">
      <c r="B16" s="29"/>
      <c r="C16" s="6" t="s">
        <v>12</v>
      </c>
      <c r="D16" s="13">
        <f>AVERAGE([6]Regressão_1!R13,[6]Regressão_1!R25,[6]Regressão_1!R37,[6]Regressão_1!R49,[6]Regressão_1!R61)</f>
        <v>0.26774655065737163</v>
      </c>
      <c r="E16" s="14">
        <f>AVERAGE([6]Regressão_1!S13,[6]Regressão_1!S25,[6]Regressão_1!S37,[6]Regressão_1!S49,[6]Regressão_1!S61)</f>
        <v>5.564461642618161</v>
      </c>
      <c r="F16" s="32"/>
      <c r="G16" s="6" t="s">
        <v>12</v>
      </c>
      <c r="H16" s="13">
        <f>AVERAGE([6]Regressão_1!R73)</f>
        <v>0.22070049133664091</v>
      </c>
      <c r="I16" s="14">
        <f>AVERAGE([6]Regressão_1!S73)</f>
        <v>4.5827885244574702</v>
      </c>
    </row>
    <row r="17" spans="2:9" ht="15.75" thickBot="1" x14ac:dyDescent="0.3">
      <c r="B17" s="30"/>
      <c r="C17" s="15" t="s">
        <v>13</v>
      </c>
      <c r="D17" s="16">
        <f>AVERAGE([6]Regressão_1!R14,[6]Regressão_1!R26,[6]Regressão_1!R38,[6]Regressão_1!R50,[6]Regressão_1!R62)</f>
        <v>0.24478806797026892</v>
      </c>
      <c r="E17" s="17">
        <f>AVERAGE([6]Regressão_1!S14,[6]Regressão_1!S26,[6]Regressão_1!S38,[6]Regressão_1!S50,[6]Regressão_1!S62)</f>
        <v>5.3249265698415105</v>
      </c>
      <c r="F17" s="24"/>
      <c r="G17" s="15" t="s">
        <v>13</v>
      </c>
      <c r="H17" s="16">
        <f>AVERAGE([6]Regressão_1!R74)</f>
        <v>0.20484720324307748</v>
      </c>
      <c r="I17" s="17">
        <f>AVERAGE([6]Regressão_1!S74)</f>
        <v>4.4096367448894158</v>
      </c>
    </row>
    <row r="18" spans="2:9" x14ac:dyDescent="0.25">
      <c r="B18" s="21" t="s">
        <v>71</v>
      </c>
      <c r="C18" s="18" t="s">
        <v>14</v>
      </c>
      <c r="D18" s="11">
        <f>AVERAGE([6]Regressão_1!R15,[6]Regressão_1!R27,[6]Regressão_1!R39,[6]Regressão_1!R51)</f>
        <v>0.28186079751523863</v>
      </c>
      <c r="E18" s="12">
        <f>AVERAGE([6]Regressão_1!S15,[6]Regressão_1!S27,[6]Regressão_1!S39,[6]Regressão_1!S51)</f>
        <v>5.9882782770518537</v>
      </c>
      <c r="F18" s="33" t="s">
        <v>72</v>
      </c>
      <c r="G18" s="18" t="s">
        <v>14</v>
      </c>
      <c r="H18" s="11">
        <f>AVERAGE([6]Regressão_1!R63,[6]Regressão_1!R75)</f>
        <v>0.22570904517430576</v>
      </c>
      <c r="I18" s="12">
        <f>AVERAGE([6]Regressão_1!S63,[6]Regressão_1!S75)</f>
        <v>4.7489347686740206</v>
      </c>
    </row>
    <row r="19" spans="2:9" ht="15.75" thickBot="1" x14ac:dyDescent="0.3">
      <c r="B19" s="22"/>
      <c r="C19" s="15" t="s">
        <v>15</v>
      </c>
      <c r="D19" s="16">
        <f>AVERAGE([6]Regressão_1!R16,[6]Regressão_1!R28,[6]Regressão_1!R40,[6]Regressão_1!R52)</f>
        <v>0.30134546458799949</v>
      </c>
      <c r="E19" s="17">
        <f>AVERAGE([6]Regressão_1!S16,[6]Regressão_1!S28,[6]Regressão_1!S40,[6]Regressão_1!S52)</f>
        <v>6.5034473987032717</v>
      </c>
      <c r="F19" s="24"/>
      <c r="G19" s="15" t="s">
        <v>15</v>
      </c>
      <c r="H19" s="16">
        <f>AVERAGE([6]Regressão_1!R64,[6]Regressão_1!R76)</f>
        <v>0.22670331237414065</v>
      </c>
      <c r="I19" s="17">
        <f>AVERAGE([6]Regressão_1!S64,[6]Regressão_1!S76)</f>
        <v>4.8247563781321006</v>
      </c>
    </row>
    <row r="20" spans="2:9" x14ac:dyDescent="0.25">
      <c r="D20" s="19"/>
    </row>
    <row r="21" spans="2:9" ht="15.75" thickBot="1" x14ac:dyDescent="0.3">
      <c r="B21" s="34" t="s">
        <v>73</v>
      </c>
      <c r="C21" s="34"/>
      <c r="D21" s="34"/>
      <c r="E21" s="34"/>
      <c r="F21" s="34"/>
      <c r="G21" s="34"/>
      <c r="H21" s="34"/>
      <c r="I21" s="34"/>
    </row>
    <row r="22" spans="2:9" x14ac:dyDescent="0.25">
      <c r="B22" s="25" t="s">
        <v>68</v>
      </c>
      <c r="C22" s="26"/>
      <c r="D22" s="26"/>
      <c r="E22" s="27"/>
      <c r="F22" s="25" t="s">
        <v>69</v>
      </c>
      <c r="G22" s="26"/>
      <c r="H22" s="26"/>
      <c r="I22" s="27"/>
    </row>
    <row r="23" spans="2:9" ht="18" thickBot="1" x14ac:dyDescent="0.3">
      <c r="B23" s="20"/>
      <c r="C23" s="6" t="s">
        <v>31</v>
      </c>
      <c r="D23" s="7" t="s">
        <v>44</v>
      </c>
      <c r="E23" s="8" t="s">
        <v>45</v>
      </c>
      <c r="F23" s="9"/>
      <c r="G23" s="6" t="s">
        <v>31</v>
      </c>
      <c r="H23" s="7" t="s">
        <v>44</v>
      </c>
      <c r="I23" s="8" t="s">
        <v>45</v>
      </c>
    </row>
    <row r="24" spans="2:9" x14ac:dyDescent="0.25">
      <c r="B24" s="28" t="s">
        <v>70</v>
      </c>
      <c r="C24" s="10" t="s">
        <v>4</v>
      </c>
      <c r="D24" s="11">
        <f>AVERAGE([6]Regressão_1!L5,[6]Regressão_1!L17,[6]Regressão_1!L29,[6]Regressão_1!L41,[6]Regressão_1!L53)</f>
        <v>7.9508720813336195E-2</v>
      </c>
      <c r="E24" s="12">
        <f>AVERAGE([6]Regressão_1!M5,[6]Regressão_1!M17,[6]Regressão_1!M29,[6]Regressão_1!M41,[6]Regressão_1!M53)</f>
        <v>1.7282914370093916</v>
      </c>
      <c r="F24" s="31">
        <v>12</v>
      </c>
      <c r="G24" s="10" t="s">
        <v>4</v>
      </c>
      <c r="H24" s="11">
        <f>AVERAGE([6]Regressão_1!L65)</f>
        <v>2.9989225495422371E-2</v>
      </c>
      <c r="I24" s="12">
        <f>AVERAGE([6]Regressão_1!M65)</f>
        <v>0.64295576395113663</v>
      </c>
    </row>
    <row r="25" spans="2:9" x14ac:dyDescent="0.25">
      <c r="B25" s="29"/>
      <c r="C25" s="6" t="s">
        <v>5</v>
      </c>
      <c r="D25" s="13">
        <f>AVERAGE([6]Regressão_1!L6,[6]Regressão_1!L18,[6]Regressão_1!L30,[6]Regressão_1!L42,[6]Regressão_1!L54)</f>
        <v>7.9173561914381782E-2</v>
      </c>
      <c r="E25" s="14">
        <f>AVERAGE([6]Regressão_1!M6,[6]Regressão_1!M18,[6]Regressão_1!M30,[6]Regressão_1!M42,[6]Regressão_1!M54)</f>
        <v>1.5904637445509711</v>
      </c>
      <c r="F25" s="32"/>
      <c r="G25" s="6" t="s">
        <v>5</v>
      </c>
      <c r="H25" s="13">
        <f>AVERAGE([6]Regressão_1!L66)</f>
        <v>3.8978789926828981E-2</v>
      </c>
      <c r="I25" s="14">
        <f>AVERAGE([6]Regressão_1!M66)</f>
        <v>0.79482498994332507</v>
      </c>
    </row>
    <row r="26" spans="2:9" x14ac:dyDescent="0.25">
      <c r="B26" s="29"/>
      <c r="C26" s="6" t="s">
        <v>6</v>
      </c>
      <c r="D26" s="13">
        <f>AVERAGE([6]Regressão_1!L7,[6]Regressão_1!L19,[6]Regressão_1!L31,[6]Regressão_1!L43,[6]Regressão_1!L55)</f>
        <v>8.3682133609440185E-2</v>
      </c>
      <c r="E26" s="14">
        <f>AVERAGE([6]Regressão_1!M7,[6]Regressão_1!M19,[6]Regressão_1!M31,[6]Regressão_1!M43,[6]Regressão_1!M55)</f>
        <v>1.8209316472251953</v>
      </c>
      <c r="F26" s="32"/>
      <c r="G26" s="6" t="s">
        <v>6</v>
      </c>
      <c r="H26" s="13">
        <f>AVERAGE([6]Regressão_1!L67)</f>
        <v>4.3093463054457486E-2</v>
      </c>
      <c r="I26" s="14">
        <f>AVERAGE([6]Regressão_1!M67)</f>
        <v>0.92788414082775617</v>
      </c>
    </row>
    <row r="27" spans="2:9" x14ac:dyDescent="0.25">
      <c r="B27" s="29"/>
      <c r="C27" s="6" t="s">
        <v>7</v>
      </c>
      <c r="D27" s="13">
        <f>AVERAGE([6]Regressão_1!L8,[6]Regressão_1!L20,[6]Regressão_1!L32,[6]Regressão_1!L44,[6]Regressão_1!L56)</f>
        <v>8.6177935998159719E-2</v>
      </c>
      <c r="E27" s="14">
        <f>AVERAGE([6]Regressão_1!M8,[6]Regressão_1!M20,[6]Regressão_1!M32,[6]Regressão_1!M44,[6]Regressão_1!M56)</f>
        <v>1.8159496439010234</v>
      </c>
      <c r="F27" s="32"/>
      <c r="G27" s="6" t="s">
        <v>7</v>
      </c>
      <c r="H27" s="13">
        <f>AVERAGE([6]Regressão_1!L68)</f>
        <v>4.1080983796029084E-2</v>
      </c>
      <c r="I27" s="14">
        <f>AVERAGE([6]Regressão_1!M68)</f>
        <v>0.85767036236724947</v>
      </c>
    </row>
    <row r="28" spans="2:9" x14ac:dyDescent="0.25">
      <c r="B28" s="29"/>
      <c r="C28" s="6" t="s">
        <v>8</v>
      </c>
      <c r="D28" s="13">
        <f>AVERAGE([6]Regressão_1!L9,[6]Regressão_1!L21,[6]Regressão_1!L33,[6]Regressão_1!L45,[6]Regressão_1!L57)</f>
        <v>9.4944271272886238E-2</v>
      </c>
      <c r="E28" s="14">
        <f>AVERAGE([6]Regressão_1!M9,[6]Regressão_1!M21,[6]Regressão_1!M33,[6]Regressão_1!M45,[6]Regressão_1!M57)</f>
        <v>2.0794245988977442</v>
      </c>
      <c r="F28" s="32"/>
      <c r="G28" s="6" t="s">
        <v>8</v>
      </c>
      <c r="H28" s="13">
        <f>AVERAGE([6]Regressão_1!L69)</f>
        <v>6.5476100681788774E-2</v>
      </c>
      <c r="I28" s="14">
        <f>AVERAGE([6]Regressão_1!M69)</f>
        <v>1.411646695759369</v>
      </c>
    </row>
    <row r="29" spans="2:9" x14ac:dyDescent="0.25">
      <c r="B29" s="29"/>
      <c r="C29" s="6" t="s">
        <v>9</v>
      </c>
      <c r="D29" s="13">
        <f>AVERAGE([6]Regressão_1!L10,[6]Regressão_1!L22,[6]Regressão_1!L34,[6]Regressão_1!L46,[6]Regressão_1!L58)</f>
        <v>0.11423340152477428</v>
      </c>
      <c r="E29" s="14">
        <f>AVERAGE([6]Regressão_1!M10,[6]Regressão_1!M22,[6]Regressão_1!M34,[6]Regressão_1!M46,[6]Regressão_1!M58)</f>
        <v>2.4119591059157495</v>
      </c>
      <c r="F29" s="32"/>
      <c r="G29" s="6" t="s">
        <v>9</v>
      </c>
      <c r="H29" s="13">
        <f>AVERAGE([6]Regressão_1!L70)</f>
        <v>7.2701007649839999E-2</v>
      </c>
      <c r="I29" s="14">
        <f>AVERAGE([6]Regressão_1!M70)</f>
        <v>1.5142046838245871</v>
      </c>
    </row>
    <row r="30" spans="2:9" x14ac:dyDescent="0.25">
      <c r="B30" s="29"/>
      <c r="C30" s="6" t="s">
        <v>10</v>
      </c>
      <c r="D30" s="13">
        <f>AVERAGE([6]Regressão_1!L11,[6]Regressão_1!L23,[6]Regressão_1!L35,[6]Regressão_1!L47,[6]Regressão_1!L59)</f>
        <v>0.12056326283443031</v>
      </c>
      <c r="E30" s="14">
        <f>AVERAGE([6]Regressão_1!M11,[6]Regressão_1!M23,[6]Regressão_1!M35,[6]Regressão_1!M47,[6]Regressão_1!M59)</f>
        <v>2.5993639802269195</v>
      </c>
      <c r="F30" s="32"/>
      <c r="G30" s="6" t="s">
        <v>10</v>
      </c>
      <c r="H30" s="13">
        <f>AVERAGE([6]Regressão_1!L71)</f>
        <v>8.5911684156871851E-2</v>
      </c>
      <c r="I30" s="14">
        <f>AVERAGE([6]Regressão_1!M71)</f>
        <v>1.8132009437345902</v>
      </c>
    </row>
    <row r="31" spans="2:9" x14ac:dyDescent="0.25">
      <c r="B31" s="29"/>
      <c r="C31" s="6" t="s">
        <v>11</v>
      </c>
      <c r="D31" s="13">
        <f>AVERAGE([6]Regressão_1!L12,[6]Regressão_1!L24,[6]Regressão_1!L36,[6]Regressão_1!L48,[6]Regressão_1!L60)</f>
        <v>0.11310624412463274</v>
      </c>
      <c r="E31" s="14">
        <f>AVERAGE([6]Regressão_1!M12,[6]Regressão_1!M24,[6]Regressão_1!M36,[6]Regressão_1!M48,[6]Regressão_1!M60)</f>
        <v>2.3265264370015641</v>
      </c>
      <c r="F31" s="32"/>
      <c r="G31" s="6" t="s">
        <v>11</v>
      </c>
      <c r="H31" s="13">
        <f>AVERAGE([6]Regressão_1!L72)</f>
        <v>4.3173589278745567E-2</v>
      </c>
      <c r="I31" s="14">
        <f>AVERAGE([6]Regressão_1!M72)</f>
        <v>0.85767036236724947</v>
      </c>
    </row>
    <row r="32" spans="2:9" x14ac:dyDescent="0.25">
      <c r="B32" s="29"/>
      <c r="C32" s="6" t="s">
        <v>12</v>
      </c>
      <c r="D32" s="13">
        <f>AVERAGE([6]Regressão_1!L13,[6]Regressão_1!L25,[6]Regressão_1!L37,[6]Regressão_1!L49,[6]Regressão_1!L61)</f>
        <v>0.11470381269029375</v>
      </c>
      <c r="E32" s="14">
        <f>AVERAGE([6]Regressão_1!M13,[6]Regressão_1!M25,[6]Regressão_1!M37,[6]Regressão_1!M49,[6]Regressão_1!M61)</f>
        <v>2.3842839298084701</v>
      </c>
      <c r="F32" s="32"/>
      <c r="G32" s="6" t="s">
        <v>12</v>
      </c>
      <c r="H32" s="13">
        <f>AVERAGE([6]Regressão_1!L73)</f>
        <v>9.0777155250793898E-2</v>
      </c>
      <c r="I32" s="14">
        <f>AVERAGE([6]Regressão_1!M73)</f>
        <v>1.8849641106221029</v>
      </c>
    </row>
    <row r="33" spans="2:9" ht="15.75" thickBot="1" x14ac:dyDescent="0.3">
      <c r="B33" s="30"/>
      <c r="C33" s="15" t="s">
        <v>13</v>
      </c>
      <c r="D33" s="13">
        <f>AVERAGE([6]Regressão_1!L14,[6]Regressão_1!L26,[6]Regressão_1!L38,[6]Regressão_1!L50,[6]Regressão_1!L62)</f>
        <v>8.8620842759727286E-2</v>
      </c>
      <c r="E33" s="17">
        <f>AVERAGE([6]Regressão_1!M14,[6]Regressão_1!M26,[6]Regressão_1!M38,[6]Regressão_1!M50,[6]Regressão_1!M62)</f>
        <v>1.9284298219200948</v>
      </c>
      <c r="F33" s="24"/>
      <c r="G33" s="15" t="s">
        <v>13</v>
      </c>
      <c r="H33" s="16">
        <f>AVERAGE([6]Regressão_1!L74)</f>
        <v>6.1785760721283604E-2</v>
      </c>
      <c r="I33" s="17">
        <f>AVERAGE([6]Regressão_1!M74)</f>
        <v>1.330029194805346</v>
      </c>
    </row>
    <row r="34" spans="2:9" x14ac:dyDescent="0.25">
      <c r="B34" s="21" t="s">
        <v>71</v>
      </c>
      <c r="C34" s="18" t="s">
        <v>14</v>
      </c>
      <c r="D34" s="11">
        <f>AVERAGE([6]Regressão_1!L15,[6]Regressão_1!L27,[6]Regressão_1!L39,[6]Regressão_1!L51)</f>
        <v>7.7891915927513239E-2</v>
      </c>
      <c r="E34" s="12">
        <f>AVERAGE([6]Regressão_1!M15,[6]Regressão_1!M27,[6]Regressão_1!M39,[6]Regressão_1!M51)</f>
        <v>1.6546263940269625</v>
      </c>
      <c r="F34" s="23" t="s">
        <v>72</v>
      </c>
      <c r="G34" s="6" t="s">
        <v>14</v>
      </c>
      <c r="H34" s="13">
        <f>AVERAGE([6]Regressão_1!L63,[6]Regressão_1!L75)</f>
        <v>4.3764375144418645E-2</v>
      </c>
      <c r="I34" s="14">
        <f>AVERAGE([6]Regressão_1!M63,[6]Regressão_1!M75)</f>
        <v>0.92066744107164289</v>
      </c>
    </row>
    <row r="35" spans="2:9" ht="15.75" thickBot="1" x14ac:dyDescent="0.3">
      <c r="B35" s="22"/>
      <c r="C35" s="15" t="s">
        <v>15</v>
      </c>
      <c r="D35" s="16">
        <f>AVERAGE([6]Regressão_1!L16,[6]Regressão_1!L28,[6]Regressão_1!L40,[6]Regressão_1!L52)</f>
        <v>6.8269788951544813E-2</v>
      </c>
      <c r="E35" s="17">
        <f>AVERAGE([6]Regressão_1!M16,[6]Regressão_1!M28,[6]Regressão_1!M40,[6]Regressão_1!M52)</f>
        <v>1.4733726100863673</v>
      </c>
      <c r="F35" s="24"/>
      <c r="G35" s="15" t="s">
        <v>15</v>
      </c>
      <c r="H35" s="16">
        <f>AVERAGE([6]Regressão_1!L64,[6]Regressão_1!L76)</f>
        <v>2.8648361140063468E-2</v>
      </c>
      <c r="I35" s="17">
        <f>AVERAGE([6]Regressão_1!M64,[6]Regressão_1!M76)</f>
        <v>0.60956319420256078</v>
      </c>
    </row>
  </sheetData>
  <sheetProtection password="A926" sheet="1" formatCells="0" formatColumns="0" formatRows="0" insertColumns="0" insertRows="0" insertHyperlinks="0" deleteColumns="0" deleteRows="0" sort="0" autoFilter="0" pivotTables="0"/>
  <mergeCells count="17">
    <mergeCell ref="M1:T2"/>
    <mergeCell ref="X1:AE2"/>
    <mergeCell ref="B4:I4"/>
    <mergeCell ref="B5:I5"/>
    <mergeCell ref="B34:B35"/>
    <mergeCell ref="F34:F35"/>
    <mergeCell ref="B6:E6"/>
    <mergeCell ref="F6:I6"/>
    <mergeCell ref="B8:B17"/>
    <mergeCell ref="F8:F17"/>
    <mergeCell ref="B18:B19"/>
    <mergeCell ref="F18:F19"/>
    <mergeCell ref="B21:I21"/>
    <mergeCell ref="B22:E22"/>
    <mergeCell ref="F22:I22"/>
    <mergeCell ref="B24:B33"/>
    <mergeCell ref="F24:F33"/>
  </mergeCells>
  <pageMargins left="0.7" right="0.7" top="0.75" bottom="0.75" header="0.3" footer="0.3"/>
  <pageSetup paperSize="9" scale="92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1</vt:i4>
      </vt:variant>
    </vt:vector>
  </HeadingPairs>
  <TitlesOfParts>
    <vt:vector size="4" baseType="lpstr">
      <vt:lpstr>Mensais 07-12 MOD's</vt:lpstr>
      <vt:lpstr>Mod_1</vt:lpstr>
      <vt:lpstr>Chillers_1</vt:lpstr>
      <vt:lpstr>Mod_1!Área_de_Impressão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Nuno</dc:creator>
  <cp:lastModifiedBy>Nuno</cp:lastModifiedBy>
  <dcterms:created xsi:type="dcterms:W3CDTF">2014-03-05T02:24:25Z</dcterms:created>
  <dcterms:modified xsi:type="dcterms:W3CDTF">2014-05-06T22:59:23Z</dcterms:modified>
</cp:coreProperties>
</file>