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26" lockStructure="1"/>
  <bookViews>
    <workbookView xWindow="480" yWindow="60" windowWidth="18195" windowHeight="8505"/>
  </bookViews>
  <sheets>
    <sheet name="Indicador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</externalReferences>
  <calcPr calcId="145621"/>
</workbook>
</file>

<file path=xl/calcChain.xml><?xml version="1.0" encoding="utf-8"?>
<calcChain xmlns="http://schemas.openxmlformats.org/spreadsheetml/2006/main">
  <c r="AF113" i="1" l="1"/>
  <c r="AE113" i="1"/>
  <c r="AG113" i="1" s="1"/>
  <c r="AF112" i="1"/>
  <c r="AE112" i="1"/>
  <c r="AG112" i="1" s="1"/>
  <c r="AG107" i="1"/>
  <c r="AG105" i="1"/>
  <c r="AK104" i="1"/>
  <c r="AK103" i="1"/>
  <c r="AG103" i="1"/>
  <c r="AK102" i="1"/>
  <c r="AK101" i="1"/>
  <c r="AG101" i="1"/>
  <c r="AK100" i="1"/>
  <c r="AL99" i="1"/>
  <c r="AK99" i="1"/>
  <c r="AG99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Q96" i="1" s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Q95" i="1" s="1"/>
  <c r="AG28" i="1" s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Q94" i="1" s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Q93" i="1" s="1"/>
  <c r="AG24" i="1" s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Q92" i="1" s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Q91" i="1" s="1"/>
  <c r="AG20" i="1" s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Q90" i="1" s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Q89" i="1" s="1"/>
  <c r="AG16" i="1" s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Q88" i="1" s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Q87" i="1" s="1"/>
  <c r="AG12" i="1" s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Q86" i="1" s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Q85" i="1" s="1"/>
  <c r="AG8" i="1" s="1"/>
  <c r="AI8" i="1" s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Q81" i="1" s="1"/>
  <c r="AH67" i="1" s="1"/>
  <c r="AG29" i="1" s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Q80" i="1" s="1"/>
  <c r="AH61" i="1" s="1"/>
  <c r="AG25" i="1" s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Q79" i="1" s="1"/>
  <c r="AH55" i="1" s="1"/>
  <c r="AG21" i="1" s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Q78" i="1" s="1"/>
  <c r="AH49" i="1" s="1"/>
  <c r="AG17" i="1" s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Q77" i="1" s="1"/>
  <c r="AH43" i="1" s="1"/>
  <c r="AG13" i="1" s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Q76" i="1" s="1"/>
  <c r="AH37" i="1" s="1"/>
  <c r="I66" i="1"/>
  <c r="I56" i="1"/>
  <c r="I53" i="1"/>
  <c r="J49" i="1"/>
  <c r="J46" i="1"/>
  <c r="K37" i="1"/>
  <c r="L37" i="1" s="1"/>
  <c r="J37" i="1"/>
  <c r="K32" i="1"/>
  <c r="L32" i="1" s="1"/>
  <c r="J32" i="1"/>
  <c r="E32" i="1"/>
  <c r="K31" i="1"/>
  <c r="M31" i="1" s="1"/>
  <c r="AG30" i="1"/>
  <c r="AH30" i="1" s="1"/>
  <c r="G30" i="1"/>
  <c r="G29" i="1"/>
  <c r="K28" i="1"/>
  <c r="M28" i="1" s="1"/>
  <c r="J28" i="1"/>
  <c r="L31" i="1" s="1"/>
  <c r="G28" i="1"/>
  <c r="K27" i="1"/>
  <c r="L27" i="1" s="1"/>
  <c r="AH26" i="1"/>
  <c r="AG26" i="1"/>
  <c r="AI26" i="1" s="1"/>
  <c r="K24" i="1"/>
  <c r="L24" i="1" s="1"/>
  <c r="J24" i="1"/>
  <c r="E24" i="1"/>
  <c r="K23" i="1"/>
  <c r="M23" i="1" s="1"/>
  <c r="AG22" i="1"/>
  <c r="AH22" i="1" s="1"/>
  <c r="V22" i="1"/>
  <c r="V21" i="1"/>
  <c r="S20" i="1"/>
  <c r="W20" i="1" s="1"/>
  <c r="K20" i="1"/>
  <c r="M20" i="1" s="1"/>
  <c r="J20" i="1"/>
  <c r="L23" i="1" s="1"/>
  <c r="E20" i="1"/>
  <c r="V19" i="1"/>
  <c r="AG18" i="1"/>
  <c r="AH18" i="1" s="1"/>
  <c r="V18" i="1"/>
  <c r="S17" i="1"/>
  <c r="V16" i="1"/>
  <c r="V15" i="1"/>
  <c r="AG14" i="1"/>
  <c r="AI14" i="1" s="1"/>
  <c r="S14" i="1"/>
  <c r="K14" i="1"/>
  <c r="L14" i="1" s="1"/>
  <c r="J14" i="1"/>
  <c r="V13" i="1"/>
  <c r="V12" i="1"/>
  <c r="AE11" i="1"/>
  <c r="AE27" i="1" s="1"/>
  <c r="S11" i="1"/>
  <c r="K11" i="1"/>
  <c r="M11" i="1" s="1"/>
  <c r="J11" i="1"/>
  <c r="V10" i="1"/>
  <c r="AE9" i="1"/>
  <c r="AE29" i="1" s="1"/>
  <c r="V9" i="1"/>
  <c r="AE8" i="1"/>
  <c r="AE24" i="1" s="1"/>
  <c r="V8" i="1"/>
  <c r="T8" i="1"/>
  <c r="S8" i="1"/>
  <c r="W8" i="1" s="1"/>
  <c r="K8" i="1"/>
  <c r="V20" i="1" s="1"/>
  <c r="J8" i="1"/>
  <c r="L8" i="1" s="1"/>
  <c r="AH112" i="1" l="1"/>
  <c r="AI112" i="1" s="1"/>
  <c r="AJ112" i="1" s="1"/>
  <c r="AD117" i="1" s="1"/>
  <c r="AG27" i="1" s="1"/>
  <c r="AH21" i="1"/>
  <c r="AH29" i="1"/>
  <c r="AI29" i="1"/>
  <c r="AH20" i="1"/>
  <c r="AH24" i="1"/>
  <c r="AI24" i="1"/>
  <c r="AH28" i="1"/>
  <c r="AE117" i="1"/>
  <c r="AG31" i="1" s="1"/>
  <c r="Y8" i="1"/>
  <c r="X8" i="1"/>
  <c r="X20" i="1"/>
  <c r="Y20" i="1"/>
  <c r="AL105" i="1"/>
  <c r="AG9" i="1"/>
  <c r="AI9" i="1" s="1"/>
  <c r="AH17" i="1"/>
  <c r="AH25" i="1"/>
  <c r="AH16" i="1"/>
  <c r="AX8" i="1" s="1"/>
  <c r="AY18" i="1" s="1"/>
  <c r="AX10" i="1"/>
  <c r="AY19" i="1" s="1"/>
  <c r="M8" i="1"/>
  <c r="L11" i="1"/>
  <c r="L40" i="1" s="1"/>
  <c r="AY15" i="1" s="1"/>
  <c r="AE12" i="1"/>
  <c r="AI12" i="1" s="1"/>
  <c r="AE13" i="1"/>
  <c r="AI13" i="1" s="1"/>
  <c r="M14" i="1"/>
  <c r="V14" i="1"/>
  <c r="W14" i="1" s="1"/>
  <c r="AE16" i="1"/>
  <c r="AI16" i="1" s="1"/>
  <c r="V17" i="1"/>
  <c r="W17" i="1" s="1"/>
  <c r="AE17" i="1"/>
  <c r="AI17" i="1" s="1"/>
  <c r="AI18" i="1"/>
  <c r="L20" i="1"/>
  <c r="AI22" i="1"/>
  <c r="M24" i="1"/>
  <c r="M27" i="1"/>
  <c r="L28" i="1"/>
  <c r="AE28" i="1"/>
  <c r="AI28" i="1" s="1"/>
  <c r="AI30" i="1"/>
  <c r="AE31" i="1"/>
  <c r="M32" i="1"/>
  <c r="V11" i="1"/>
  <c r="W11" i="1" s="1"/>
  <c r="AE15" i="1"/>
  <c r="AE19" i="1"/>
  <c r="AE20" i="1"/>
  <c r="AI20" i="1" s="1"/>
  <c r="AE21" i="1"/>
  <c r="AI21" i="1" s="1"/>
  <c r="AE23" i="1"/>
  <c r="AE25" i="1"/>
  <c r="AI25" i="1" s="1"/>
  <c r="X11" i="1" l="1"/>
  <c r="Y11" i="1"/>
  <c r="Y17" i="1"/>
  <c r="X17" i="1"/>
  <c r="Y14" i="1"/>
  <c r="X14" i="1"/>
  <c r="AI31" i="1"/>
  <c r="AH31" i="1"/>
  <c r="AX9" i="1"/>
  <c r="AY17" i="1" s="1"/>
  <c r="X23" i="1"/>
  <c r="AY16" i="1" s="1"/>
  <c r="AH27" i="1"/>
  <c r="AX11" i="1" s="1"/>
  <c r="AY20" i="1" s="1"/>
  <c r="AI27" i="1"/>
</calcChain>
</file>

<file path=xl/comments1.xml><?xml version="1.0" encoding="utf-8"?>
<comments xmlns="http://schemas.openxmlformats.org/spreadsheetml/2006/main">
  <authors>
    <author>Nuno</author>
  </authors>
  <commentList>
    <comment ref="H6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O consumo medido pela pinça é instantâneo. Depois de convertido, obtemos o valor consumido em UMA hora.</t>
        </r>
      </text>
    </comment>
    <comment ref="AH8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Não se sabe o número de visitas por espaço.</t>
        </r>
      </text>
    </comment>
    <comment ref="AG10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Não existe registo de Ilum&amp;Tom de 2007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Média de utilização diária;</t>
        </r>
      </text>
    </comment>
    <comment ref="AF19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Não existe o registo de visitas neste ano.</t>
        </r>
      </text>
    </comment>
    <comment ref="D20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Onde está implementada a gráfica, entre outros serviços!</t>
        </r>
      </text>
    </comment>
    <comment ref="L2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Usando a média mensal!</t>
        </r>
      </text>
    </comment>
    <comment ref="AF2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Não existe o registo de visitas neste ano.</t>
        </r>
      </text>
    </comment>
    <comment ref="D24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Onde está implementado o servidor informático, entre outros serviços!</t>
        </r>
      </text>
    </comment>
    <comment ref="L27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Usando a média mensal!</t>
        </r>
      </text>
    </comment>
    <comment ref="L31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Usando a média mensal!</t>
        </r>
      </text>
    </comment>
    <comment ref="E37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Não faz sentido contabilizar área neste espaço visto que estas pessoas realizam a manutenção de todo este piso!</t>
        </r>
      </text>
    </comment>
    <comment ref="AK37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Como as Bilheteiras estão abertas todo o ano, e para os variados eventos, não se consegue "atribuir" o consumo para um espaço em especifico.</t>
        </r>
      </text>
    </comment>
    <comment ref="AG40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Apesar de ser a UTA que faz a circulação de ambos os espaços, contabilizei apenas no P.A, face à diferença entre visitas dos dois espaços; Após 2009, passou apenas a fazer "ar novo", isto é, funciona apenas um ventilador que está acoplado a esta UTA, não existindo consumo de frio/quente. (IDEM para o ano de 2008)</t>
        </r>
      </text>
    </comment>
    <comment ref="AF6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Após 2011, realizou-se uma alteração "in situ" na UTA's associada aos acessos dos Auditórios. Antes: a UTA 206 servia os acessos do P.A. e o G.A.; Depois: apenas o G.A.. Isto é, na utilização do G.A. já não se "desperdiça" ar para o P.A., sem estes estar a ser usado.</t>
        </r>
      </text>
    </comment>
    <comment ref="AD112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Dezembro 2012</t>
        </r>
      </text>
    </comment>
    <comment ref="AD113" authorId="0">
      <text>
        <r>
          <rPr>
            <b/>
            <sz val="9"/>
            <color indexed="81"/>
            <rFont val="Tahoma"/>
            <family val="2"/>
          </rPr>
          <t>Nuno:</t>
        </r>
        <r>
          <rPr>
            <sz val="9"/>
            <color indexed="81"/>
            <rFont val="Tahoma"/>
            <family val="2"/>
          </rPr>
          <t xml:space="preserve">
Julho 2012</t>
        </r>
      </text>
    </comment>
  </commentList>
</comments>
</file>

<file path=xl/sharedStrings.xml><?xml version="1.0" encoding="utf-8"?>
<sst xmlns="http://schemas.openxmlformats.org/spreadsheetml/2006/main" count="232" uniqueCount="98">
  <si>
    <t>Funcionários CCB&amp;Berardo</t>
  </si>
  <si>
    <t>Visitantes Fundação Berardo</t>
  </si>
  <si>
    <t>Visitantes CCB - Espetáculos/Eventos</t>
  </si>
  <si>
    <t>Consumo Instantâneo</t>
  </si>
  <si>
    <t>Pessoas</t>
  </si>
  <si>
    <t>*.Ano</t>
  </si>
  <si>
    <t>Módulo</t>
  </si>
  <si>
    <t>Piso</t>
  </si>
  <si>
    <t>Espaço</t>
  </si>
  <si>
    <t>Área</t>
  </si>
  <si>
    <t>Amperes</t>
  </si>
  <si>
    <t>kWh</t>
  </si>
  <si>
    <t>kWh/ Pessoa</t>
  </si>
  <si>
    <r>
      <t>kWh/m</t>
    </r>
    <r>
      <rPr>
        <vertAlign val="superscript"/>
        <sz val="11"/>
        <color theme="1"/>
        <rFont val="Calibri"/>
        <family val="2"/>
        <scheme val="minor"/>
      </rPr>
      <t>2</t>
    </r>
  </si>
  <si>
    <t>A retirar (kWh)</t>
  </si>
  <si>
    <t>Espectáculos</t>
  </si>
  <si>
    <t>Eventos</t>
  </si>
  <si>
    <t>F. Artes</t>
  </si>
  <si>
    <t>Fase</t>
  </si>
  <si>
    <t>Valor</t>
  </si>
  <si>
    <t>Dia</t>
  </si>
  <si>
    <t>Ano</t>
  </si>
  <si>
    <t>Visitas</t>
  </si>
  <si>
    <t>C. Global</t>
  </si>
  <si>
    <t>Consumo</t>
  </si>
  <si>
    <t>Gabinetes</t>
  </si>
  <si>
    <t>R</t>
  </si>
  <si>
    <t>G. A.</t>
  </si>
  <si>
    <t>G.A.</t>
  </si>
  <si>
    <t>S</t>
  </si>
  <si>
    <t>P. A.</t>
  </si>
  <si>
    <t>P.A.</t>
  </si>
  <si>
    <t>T</t>
  </si>
  <si>
    <t>"Piso 0"</t>
  </si>
  <si>
    <t>B.B./S. E.</t>
  </si>
  <si>
    <t>L.F.B.</t>
  </si>
  <si>
    <t>Quadro Resumo</t>
  </si>
  <si>
    <t>Gabinetes Sul</t>
  </si>
  <si>
    <t>Descrição</t>
  </si>
  <si>
    <t>Funcionários</t>
  </si>
  <si>
    <t>Visitantes Módulo 3</t>
  </si>
  <si>
    <t>Gabinetes Norte</t>
  </si>
  <si>
    <t>Pequeno Auditório</t>
  </si>
  <si>
    <t>Grande Auditório</t>
  </si>
  <si>
    <t>Sala de Ensaios</t>
  </si>
  <si>
    <t>G. Sul</t>
  </si>
  <si>
    <t>Sala Luís Freitas Branco</t>
  </si>
  <si>
    <t>G. Norte</t>
  </si>
  <si>
    <t>Vestuário</t>
  </si>
  <si>
    <t>Armazéns</t>
  </si>
  <si>
    <t>CÁLCULOS AUXILIARES</t>
  </si>
  <si>
    <t>Copa</t>
  </si>
  <si>
    <t>Balneários</t>
  </si>
  <si>
    <t>Equipamento Considerado / Consumo</t>
  </si>
  <si>
    <t>Siemens</t>
  </si>
  <si>
    <t>GA</t>
  </si>
  <si>
    <t>PA</t>
  </si>
  <si>
    <t>BB/SE</t>
  </si>
  <si>
    <t>Bilheteiras</t>
  </si>
  <si>
    <t>Oficinas</t>
  </si>
  <si>
    <t>UTA's - Consumo de Frio e Quente</t>
  </si>
  <si>
    <t>Espaço Considerado / Consumo</t>
  </si>
  <si>
    <t>MOD_1; Piso 2</t>
  </si>
  <si>
    <t>Jul</t>
  </si>
  <si>
    <t>Set</t>
  </si>
  <si>
    <t>Out</t>
  </si>
  <si>
    <t>Áreas</t>
  </si>
  <si>
    <t>MOD_3; Piso 0</t>
  </si>
  <si>
    <t>"Espaços de 1 a 5"</t>
  </si>
  <si>
    <t>Consumo de Frio e Quente</t>
  </si>
  <si>
    <t>Jan</t>
  </si>
  <si>
    <t>Fev</t>
  </si>
  <si>
    <t>Mar</t>
  </si>
  <si>
    <t>Abr</t>
  </si>
  <si>
    <t>Mai</t>
  </si>
  <si>
    <t>Jun</t>
  </si>
  <si>
    <t>Ago</t>
  </si>
  <si>
    <t>Nov</t>
  </si>
  <si>
    <t>Dez</t>
  </si>
  <si>
    <t>Total</t>
  </si>
  <si>
    <t>UTA 203 - Pequeno Auditório</t>
  </si>
  <si>
    <t>Iluminação&amp;Tomadas</t>
  </si>
  <si>
    <t>B.B./S.E. - Ilum&amp;Tomadas (Quadro 240)</t>
  </si>
  <si>
    <t>Considerações</t>
  </si>
  <si>
    <t>Para a relação área/capacidade, têm consumos idênticos;</t>
  </si>
  <si>
    <t>Total/Ano</t>
  </si>
  <si>
    <t>Média UTA's G.A.:</t>
  </si>
  <si>
    <t>Média UTA's P.A.:</t>
  </si>
  <si>
    <t>L.F.B. - Consumo Médio</t>
  </si>
  <si>
    <t>Horas F.</t>
  </si>
  <si>
    <t>kW/h</t>
  </si>
  <si>
    <t>kW/h Med</t>
  </si>
  <si>
    <t>kWh/Ev.</t>
  </si>
  <si>
    <t>Total/Ev.</t>
  </si>
  <si>
    <t>UTA 104</t>
  </si>
  <si>
    <t>Inverno</t>
  </si>
  <si>
    <t>Verão</t>
  </si>
  <si>
    <t>Ilum&amp;Tom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</si>
</sst>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0" fillId="2" borderId="0" xfId="0" applyFill="1" applyProtection="1">
      <protection hidden="1"/>
    </xf>
    <xf numFmtId="0" fontId="1" fillId="0" borderId="0" xfId="0" applyFont="1" applyFill="1" applyProtection="1"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0" fontId="0" fillId="4" borderId="3" xfId="0" applyFill="1" applyBorder="1" applyAlignment="1" applyProtection="1">
      <alignment horizontal="center" vertical="center" wrapText="1"/>
      <protection hidden="1"/>
    </xf>
    <xf numFmtId="0" fontId="0" fillId="4" borderId="4" xfId="0" applyFill="1" applyBorder="1" applyAlignment="1" applyProtection="1">
      <alignment horizontal="center" vertical="center" wrapText="1"/>
      <protection hidden="1"/>
    </xf>
    <xf numFmtId="0" fontId="0" fillId="4" borderId="5" xfId="0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0" fontId="0" fillId="4" borderId="5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4" borderId="6" xfId="0" applyFill="1" applyBorder="1" applyAlignment="1" applyProtection="1">
      <alignment horizontal="center" vertical="center"/>
      <protection hidden="1"/>
    </xf>
    <xf numFmtId="0" fontId="0" fillId="4" borderId="7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 wrapText="1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4" borderId="15" xfId="0" applyFill="1" applyBorder="1" applyAlignment="1" applyProtection="1">
      <alignment horizontal="center" vertical="center" wrapText="1"/>
      <protection hidden="1"/>
    </xf>
    <xf numFmtId="0" fontId="0" fillId="4" borderId="16" xfId="0" applyFill="1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4" fontId="0" fillId="0" borderId="1" xfId="0" applyNumberFormat="1" applyFill="1" applyBorder="1" applyAlignment="1" applyProtection="1">
      <alignment horizontal="center" vertical="center"/>
      <protection hidden="1"/>
    </xf>
    <xf numFmtId="3" fontId="0" fillId="0" borderId="2" xfId="0" applyNumberFormat="1" applyFill="1" applyBorder="1" applyAlignment="1" applyProtection="1">
      <alignment horizontal="center" vertical="center"/>
      <protection hidden="1"/>
    </xf>
    <xf numFmtId="4" fontId="0" fillId="4" borderId="9" xfId="0" applyNumberFormat="1" applyFill="1" applyBorder="1" applyAlignment="1" applyProtection="1">
      <alignment horizontal="center" vertical="center"/>
      <protection hidden="1"/>
    </xf>
    <xf numFmtId="2" fontId="0" fillId="4" borderId="1" xfId="0" applyNumberFormat="1" applyFill="1" applyBorder="1" applyAlignment="1" applyProtection="1">
      <alignment horizontal="center" vertical="center"/>
      <protection hidden="1"/>
    </xf>
    <xf numFmtId="2" fontId="0" fillId="4" borderId="10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4" fontId="0" fillId="0" borderId="1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horizontal="center" vertical="center"/>
      <protection hidden="1"/>
    </xf>
    <xf numFmtId="3" fontId="0" fillId="4" borderId="9" xfId="0" applyNumberFormat="1" applyFill="1" applyBorder="1" applyAlignment="1" applyProtection="1">
      <alignment horizontal="center" vertical="center"/>
      <protection hidden="1"/>
    </xf>
    <xf numFmtId="2" fontId="0" fillId="0" borderId="0" xfId="0" applyNumberForma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4" fontId="0" fillId="0" borderId="1" xfId="0" applyNumberFormat="1" applyFill="1" applyBorder="1" applyAlignment="1" applyProtection="1">
      <alignment horizontal="center" vertical="center"/>
      <protection hidden="1"/>
    </xf>
    <xf numFmtId="3" fontId="0" fillId="0" borderId="2" xfId="0" applyNumberFormat="1" applyBorder="1" applyAlignment="1" applyProtection="1">
      <alignment horizontal="center" vertical="center"/>
      <protection hidden="1"/>
    </xf>
    <xf numFmtId="4" fontId="0" fillId="0" borderId="9" xfId="0" applyNumberFormat="1" applyFill="1" applyBorder="1" applyAlignment="1" applyProtection="1">
      <alignment horizontal="center" vertical="center"/>
      <protection hidden="1"/>
    </xf>
    <xf numFmtId="2" fontId="0" fillId="5" borderId="1" xfId="0" applyNumberFormat="1" applyFill="1" applyBorder="1" applyAlignment="1" applyProtection="1">
      <alignment horizontal="center" vertical="center"/>
      <protection hidden="1"/>
    </xf>
    <xf numFmtId="2" fontId="0" fillId="0" borderId="10" xfId="0" applyNumberFormat="1" applyFill="1" applyBorder="1" applyAlignment="1" applyProtection="1">
      <alignment horizontal="center" vertical="center"/>
      <protection hidden="1"/>
    </xf>
    <xf numFmtId="0" fontId="0" fillId="5" borderId="17" xfId="0" applyFill="1" applyBorder="1" applyAlignment="1" applyProtection="1">
      <alignment horizontal="center" vertical="center"/>
      <protection hidden="1"/>
    </xf>
    <xf numFmtId="0" fontId="0" fillId="5" borderId="15" xfId="0" applyFill="1" applyBorder="1" applyAlignment="1" applyProtection="1">
      <alignment horizontal="center" vertical="center"/>
      <protection hidden="1"/>
    </xf>
    <xf numFmtId="3" fontId="0" fillId="0" borderId="11" xfId="0" applyNumberFormat="1" applyBorder="1" applyAlignment="1" applyProtection="1">
      <alignment horizontal="center" vertical="center"/>
      <protection hidden="1"/>
    </xf>
    <xf numFmtId="3" fontId="0" fillId="5" borderId="9" xfId="0" applyNumberFormat="1" applyFill="1" applyBorder="1" applyAlignment="1" applyProtection="1">
      <alignment horizontal="center" vertical="center"/>
      <protection hidden="1"/>
    </xf>
    <xf numFmtId="2" fontId="0" fillId="5" borderId="10" xfId="0" applyNumberFormat="1" applyFill="1" applyBorder="1" applyAlignment="1" applyProtection="1">
      <alignment horizontal="center" vertical="center"/>
      <protection hidden="1"/>
    </xf>
    <xf numFmtId="0" fontId="0" fillId="5" borderId="13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vertical="center" textRotation="90" wrapText="1"/>
      <protection hidden="1"/>
    </xf>
    <xf numFmtId="2" fontId="0" fillId="6" borderId="18" xfId="0" applyNumberFormat="1" applyFill="1" applyBorder="1" applyAlignment="1" applyProtection="1">
      <alignment horizontal="center"/>
      <protection hidden="1"/>
    </xf>
    <xf numFmtId="2" fontId="0" fillId="0" borderId="1" xfId="0" applyNumberFormat="1" applyFill="1" applyBorder="1" applyAlignment="1" applyProtection="1">
      <alignment horizontal="center" vertical="center"/>
      <protection hidden="1"/>
    </xf>
    <xf numFmtId="4" fontId="0" fillId="0" borderId="19" xfId="0" applyNumberFormat="1" applyBorder="1" applyAlignment="1" applyProtection="1">
      <alignment horizontal="center" vertical="center"/>
      <protection hidden="1"/>
    </xf>
    <xf numFmtId="0" fontId="0" fillId="5" borderId="20" xfId="0" applyFill="1" applyBorder="1" applyAlignment="1" applyProtection="1">
      <alignment horizontal="center" vertical="center"/>
      <protection hidden="1"/>
    </xf>
    <xf numFmtId="0" fontId="0" fillId="5" borderId="19" xfId="0" applyFill="1" applyBorder="1" applyAlignment="1" applyProtection="1">
      <alignment horizontal="center" vertical="center"/>
      <protection hidden="1"/>
    </xf>
    <xf numFmtId="2" fontId="0" fillId="6" borderId="21" xfId="0" applyNumberFormat="1" applyFill="1" applyBorder="1" applyAlignment="1" applyProtection="1">
      <alignment horizontal="center"/>
      <protection hidden="1"/>
    </xf>
    <xf numFmtId="4" fontId="0" fillId="5" borderId="9" xfId="0" applyNumberFormat="1" applyFill="1" applyBorder="1" applyAlignment="1" applyProtection="1">
      <alignment horizontal="center" vertical="center"/>
      <protection hidden="1"/>
    </xf>
    <xf numFmtId="2" fontId="0" fillId="5" borderId="10" xfId="0" applyNumberFormat="1" applyFill="1" applyBorder="1" applyAlignment="1" applyProtection="1">
      <alignment horizontal="center" vertical="center"/>
      <protection hidden="1"/>
    </xf>
    <xf numFmtId="3" fontId="0" fillId="0" borderId="2" xfId="0" applyNumberFormat="1" applyBorder="1" applyAlignment="1" applyProtection="1">
      <alignment horizontal="center" vertical="center"/>
      <protection hidden="1"/>
    </xf>
    <xf numFmtId="3" fontId="0" fillId="0" borderId="1" xfId="0" applyNumberFormat="1" applyFill="1" applyBorder="1" applyAlignment="1" applyProtection="1">
      <alignment horizontal="center" vertical="center"/>
      <protection hidden="1"/>
    </xf>
    <xf numFmtId="4" fontId="0" fillId="5" borderId="22" xfId="0" applyNumberFormat="1" applyFill="1" applyBorder="1" applyAlignment="1" applyProtection="1">
      <alignment horizontal="center" vertical="center"/>
      <protection hidden="1"/>
    </xf>
    <xf numFmtId="0" fontId="0" fillId="5" borderId="12" xfId="0" applyFill="1" applyBorder="1" applyAlignment="1" applyProtection="1">
      <alignment horizontal="center" vertical="center"/>
      <protection hidden="1"/>
    </xf>
    <xf numFmtId="0" fontId="0" fillId="5" borderId="14" xfId="0" applyFill="1" applyBorder="1" applyAlignment="1" applyProtection="1">
      <alignment horizontal="center" vertical="center"/>
      <protection hidden="1"/>
    </xf>
    <xf numFmtId="2" fontId="0" fillId="6" borderId="23" xfId="0" applyNumberFormat="1" applyFill="1" applyBorder="1" applyAlignment="1" applyProtection="1">
      <alignment horizontal="center"/>
      <protection hidden="1"/>
    </xf>
    <xf numFmtId="4" fontId="0" fillId="0" borderId="24" xfId="0" applyNumberFormat="1" applyFill="1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 vertical="center" wrapText="1"/>
      <protection hidden="1"/>
    </xf>
    <xf numFmtId="2" fontId="0" fillId="4" borderId="15" xfId="0" applyNumberForma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2" fontId="0" fillId="4" borderId="19" xfId="0" applyNumberFormat="1" applyFill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2" fontId="0" fillId="0" borderId="10" xfId="0" applyNumberFormat="1" applyBorder="1" applyAlignment="1" applyProtection="1">
      <alignment horizontal="center" vertical="center"/>
      <protection hidden="1"/>
    </xf>
    <xf numFmtId="2" fontId="0" fillId="4" borderId="14" xfId="0" applyNumberFormat="1" applyFill="1" applyBorder="1" applyAlignment="1" applyProtection="1">
      <alignment horizontal="center" vertical="center"/>
      <protection hidden="1"/>
    </xf>
    <xf numFmtId="3" fontId="0" fillId="5" borderId="2" xfId="0" applyNumberFormat="1" applyFill="1" applyBorder="1" applyAlignment="1" applyProtection="1">
      <alignment horizontal="center" vertical="center"/>
      <protection hidden="1"/>
    </xf>
    <xf numFmtId="2" fontId="0" fillId="5" borderId="1" xfId="0" applyNumberFormat="1" applyFill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4" fontId="0" fillId="0" borderId="15" xfId="0" applyNumberFormat="1" applyFill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center" vertical="center"/>
      <protection hidden="1"/>
    </xf>
    <xf numFmtId="0" fontId="0" fillId="0" borderId="28" xfId="0" applyFill="1" applyBorder="1" applyAlignment="1" applyProtection="1">
      <alignment horizontal="center" vertical="center"/>
      <protection hidden="1"/>
    </xf>
    <xf numFmtId="4" fontId="0" fillId="5" borderId="29" xfId="0" applyNumberFormat="1" applyFill="1" applyBorder="1" applyAlignment="1" applyProtection="1">
      <alignment horizontal="center" vertical="center"/>
      <protection hidden="1"/>
    </xf>
    <xf numFmtId="2" fontId="0" fillId="5" borderId="15" xfId="0" applyNumberFormat="1" applyFill="1" applyBorder="1" applyAlignment="1" applyProtection="1">
      <alignment horizontal="center" vertical="center"/>
      <protection hidden="1"/>
    </xf>
    <xf numFmtId="2" fontId="0" fillId="5" borderId="16" xfId="0" applyNumberFormat="1" applyFill="1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2" fontId="0" fillId="0" borderId="32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4" fontId="0" fillId="0" borderId="19" xfId="0" applyNumberFormat="1" applyFill="1" applyBorder="1" applyAlignment="1" applyProtection="1">
      <alignment horizontal="center" vertical="center"/>
      <protection hidden="1"/>
    </xf>
    <xf numFmtId="0" fontId="0" fillId="0" borderId="33" xfId="0" applyFill="1" applyBorder="1" applyAlignment="1" applyProtection="1">
      <alignment horizontal="center" vertical="center"/>
      <protection hidden="1"/>
    </xf>
    <xf numFmtId="4" fontId="0" fillId="5" borderId="34" xfId="0" applyNumberFormat="1" applyFill="1" applyBorder="1" applyAlignment="1" applyProtection="1">
      <alignment horizontal="center" vertical="center"/>
      <protection hidden="1"/>
    </xf>
    <xf numFmtId="2" fontId="0" fillId="5" borderId="19" xfId="0" applyNumberFormat="1" applyFill="1" applyBorder="1" applyAlignment="1" applyProtection="1">
      <alignment horizontal="center" vertical="center"/>
      <protection hidden="1"/>
    </xf>
    <xf numFmtId="2" fontId="0" fillId="5" borderId="35" xfId="0" applyNumberFormat="1" applyFill="1" applyBorder="1" applyAlignment="1" applyProtection="1">
      <alignment horizontal="center" vertical="center"/>
      <protection hidden="1"/>
    </xf>
    <xf numFmtId="4" fontId="0" fillId="5" borderId="36" xfId="0" applyNumberFormat="1" applyFill="1" applyBorder="1" applyAlignment="1" applyProtection="1">
      <alignment horizontal="center" vertical="center"/>
      <protection hidden="1"/>
    </xf>
    <xf numFmtId="2" fontId="0" fillId="5" borderId="14" xfId="0" applyNumberFormat="1" applyFill="1" applyBorder="1" applyAlignment="1" applyProtection="1">
      <alignment horizontal="center" vertical="center"/>
      <protection hidden="1"/>
    </xf>
    <xf numFmtId="2" fontId="0" fillId="5" borderId="37" xfId="0" applyNumberFormat="1" applyFill="1" applyBorder="1" applyAlignment="1" applyProtection="1">
      <alignment horizontal="center" vertical="center"/>
      <protection hidden="1"/>
    </xf>
    <xf numFmtId="4" fontId="0" fillId="0" borderId="14" xfId="0" applyNumberFormat="1" applyBorder="1" applyAlignment="1" applyProtection="1">
      <alignment horizontal="center" vertical="center"/>
      <protection hidden="1"/>
    </xf>
    <xf numFmtId="0" fontId="0" fillId="4" borderId="30" xfId="0" applyFill="1" applyBorder="1" applyAlignment="1" applyProtection="1">
      <alignment horizontal="center" vertical="center"/>
      <protection hidden="1"/>
    </xf>
    <xf numFmtId="2" fontId="0" fillId="4" borderId="31" xfId="0" applyNumberFormat="1" applyFill="1" applyBorder="1" applyAlignment="1" applyProtection="1">
      <alignment horizontal="center" vertical="center"/>
      <protection hidden="1"/>
    </xf>
    <xf numFmtId="2" fontId="0" fillId="4" borderId="32" xfId="0" applyNumberForma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4" fontId="0" fillId="0" borderId="14" xfId="0" applyNumberFormat="1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0" borderId="38" xfId="0" applyFill="1" applyBorder="1" applyAlignment="1" applyProtection="1">
      <alignment horizontal="center" vertical="center"/>
      <protection hidden="1"/>
    </xf>
    <xf numFmtId="4" fontId="0" fillId="4" borderId="34" xfId="0" applyNumberFormat="1" applyFill="1" applyBorder="1" applyAlignment="1" applyProtection="1">
      <alignment horizontal="center" vertical="center"/>
      <protection hidden="1"/>
    </xf>
    <xf numFmtId="2" fontId="0" fillId="4" borderId="19" xfId="0" applyNumberFormat="1" applyFill="1" applyBorder="1" applyAlignment="1" applyProtection="1">
      <alignment horizontal="center" vertical="center"/>
      <protection hidden="1"/>
    </xf>
    <xf numFmtId="2" fontId="0" fillId="4" borderId="35" xfId="0" applyNumberFormat="1" applyFill="1" applyBorder="1" applyAlignment="1" applyProtection="1">
      <alignment horizontal="center" vertical="center"/>
      <protection hidden="1"/>
    </xf>
    <xf numFmtId="2" fontId="0" fillId="6" borderId="39" xfId="0" applyNumberFormat="1" applyFill="1" applyBorder="1" applyAlignment="1" applyProtection="1">
      <alignment horizontal="center" vertical="center"/>
      <protection hidden="1"/>
    </xf>
    <xf numFmtId="0" fontId="0" fillId="6" borderId="40" xfId="0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0" fillId="0" borderId="15" xfId="0" applyFill="1" applyBorder="1" applyAlignment="1" applyProtection="1">
      <alignment horizontal="center" vertical="center"/>
      <protection hidden="1"/>
    </xf>
    <xf numFmtId="2" fontId="0" fillId="0" borderId="15" xfId="0" applyNumberFormat="1" applyFill="1" applyBorder="1" applyAlignment="1" applyProtection="1">
      <alignment horizontal="center" vertical="center"/>
      <protection hidden="1"/>
    </xf>
    <xf numFmtId="2" fontId="0" fillId="5" borderId="15" xfId="0" applyNumberFormat="1" applyFill="1" applyBorder="1" applyAlignment="1" applyProtection="1">
      <alignment horizontal="center" vertical="center"/>
      <protection hidden="1"/>
    </xf>
    <xf numFmtId="4" fontId="0" fillId="4" borderId="29" xfId="0" applyNumberFormat="1" applyFill="1" applyBorder="1" applyAlignment="1" applyProtection="1">
      <alignment horizontal="center" vertical="center"/>
      <protection hidden="1"/>
    </xf>
    <xf numFmtId="2" fontId="0" fillId="4" borderId="15" xfId="0" applyNumberFormat="1" applyFill="1" applyBorder="1" applyAlignment="1" applyProtection="1">
      <alignment horizontal="center" vertical="center"/>
      <protection hidden="1"/>
    </xf>
    <xf numFmtId="2" fontId="0" fillId="4" borderId="16" xfId="0" applyNumberFormat="1" applyFill="1" applyBorder="1" applyAlignment="1" applyProtection="1">
      <alignment horizontal="center" vertical="center"/>
      <protection hidden="1"/>
    </xf>
    <xf numFmtId="4" fontId="0" fillId="0" borderId="1" xfId="0" applyNumberFormat="1" applyBorder="1" applyAlignment="1" applyProtection="1">
      <alignment horizontal="center" vertical="center"/>
      <protection hidden="1"/>
    </xf>
    <xf numFmtId="4" fontId="0" fillId="5" borderId="9" xfId="0" applyNumberFormat="1" applyFill="1" applyBorder="1" applyAlignment="1" applyProtection="1">
      <alignment horizontal="center" vertical="center"/>
      <protection hidden="1"/>
    </xf>
    <xf numFmtId="3" fontId="0" fillId="0" borderId="28" xfId="0" applyNumberFormat="1" applyBorder="1" applyAlignment="1" applyProtection="1">
      <alignment horizontal="center" vertical="center"/>
      <protection hidden="1"/>
    </xf>
    <xf numFmtId="3" fontId="0" fillId="0" borderId="33" xfId="0" applyNumberFormat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4" fontId="0" fillId="4" borderId="9" xfId="0" applyNumberFormat="1" applyFill="1" applyBorder="1" applyAlignment="1" applyProtection="1">
      <alignment horizontal="center" vertical="center"/>
      <protection hidden="1"/>
    </xf>
    <xf numFmtId="2" fontId="0" fillId="4" borderId="1" xfId="0" applyNumberFormat="1" applyFill="1" applyBorder="1" applyAlignment="1" applyProtection="1">
      <alignment horizontal="center" vertical="center"/>
      <protection hidden="1"/>
    </xf>
    <xf numFmtId="2" fontId="0" fillId="4" borderId="10" xfId="0" applyNumberFormat="1" applyFill="1" applyBorder="1" applyAlignment="1" applyProtection="1">
      <alignment horizontal="center" vertical="center"/>
      <protection hidden="1"/>
    </xf>
    <xf numFmtId="4" fontId="0" fillId="0" borderId="30" xfId="0" applyNumberFormat="1" applyFill="1" applyBorder="1" applyAlignment="1" applyProtection="1">
      <alignment horizontal="center" vertical="center"/>
      <protection hidden="1"/>
    </xf>
    <xf numFmtId="2" fontId="0" fillId="0" borderId="31" xfId="0" applyNumberFormat="1" applyFill="1" applyBorder="1" applyAlignment="1" applyProtection="1">
      <alignment horizontal="center" vertical="center"/>
      <protection hidden="1"/>
    </xf>
    <xf numFmtId="2" fontId="0" fillId="0" borderId="32" xfId="0" applyNumberFormat="1" applyFill="1" applyBorder="1" applyAlignment="1" applyProtection="1">
      <alignment horizontal="center" vertical="center"/>
      <protection hidden="1"/>
    </xf>
    <xf numFmtId="3" fontId="0" fillId="5" borderId="30" xfId="0" applyNumberFormat="1" applyFill="1" applyBorder="1" applyAlignment="1" applyProtection="1">
      <alignment horizontal="center" vertical="center"/>
      <protection hidden="1"/>
    </xf>
    <xf numFmtId="2" fontId="0" fillId="5" borderId="31" xfId="0" applyNumberFormat="1" applyFill="1" applyBorder="1" applyAlignment="1" applyProtection="1">
      <alignment horizontal="center" vertical="center"/>
      <protection hidden="1"/>
    </xf>
    <xf numFmtId="2" fontId="0" fillId="5" borderId="32" xfId="0" applyNumberFormat="1" applyFill="1" applyBorder="1" applyAlignment="1" applyProtection="1">
      <alignment horizontal="center" vertical="center"/>
      <protection hidden="1"/>
    </xf>
    <xf numFmtId="3" fontId="0" fillId="0" borderId="38" xfId="0" applyNumberFormat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protection hidden="1"/>
    </xf>
    <xf numFmtId="0" fontId="0" fillId="0" borderId="14" xfId="0" applyFill="1" applyBorder="1" applyAlignment="1" applyProtection="1">
      <alignment horizontal="center" vertical="center"/>
      <protection hidden="1"/>
    </xf>
    <xf numFmtId="2" fontId="0" fillId="0" borderId="14" xfId="0" applyNumberFormat="1" applyFill="1" applyBorder="1" applyAlignment="1" applyProtection="1">
      <alignment horizontal="center" vertical="center"/>
      <protection hidden="1"/>
    </xf>
    <xf numFmtId="3" fontId="0" fillId="0" borderId="38" xfId="0" applyNumberFormat="1" applyFill="1" applyBorder="1" applyAlignment="1" applyProtection="1">
      <alignment horizontal="center" vertical="center"/>
      <protection hidden="1"/>
    </xf>
    <xf numFmtId="4" fontId="0" fillId="4" borderId="36" xfId="0" applyNumberFormat="1" applyFill="1" applyBorder="1" applyAlignment="1" applyProtection="1">
      <alignment horizontal="center" vertical="center"/>
      <protection hidden="1"/>
    </xf>
    <xf numFmtId="2" fontId="0" fillId="4" borderId="37" xfId="0" applyNumberFormat="1" applyFill="1" applyBorder="1" applyAlignment="1" applyProtection="1">
      <alignment horizontal="center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3" fontId="0" fillId="0" borderId="0" xfId="0" applyNumberFormat="1" applyFill="1" applyBorder="1" applyAlignment="1" applyProtection="1">
      <alignment vertical="center"/>
      <protection hidden="1"/>
    </xf>
    <xf numFmtId="2" fontId="0" fillId="0" borderId="0" xfId="0" applyNumberFormat="1" applyFill="1" applyBorder="1" applyAlignment="1" applyProtection="1">
      <alignment vertical="center"/>
      <protection hidden="1"/>
    </xf>
    <xf numFmtId="0" fontId="2" fillId="7" borderId="0" xfId="0" applyFont="1" applyFill="1" applyAlignment="1" applyProtection="1">
      <alignment horizont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4" fontId="0" fillId="0" borderId="0" xfId="0" applyNumberFormat="1" applyFill="1" applyBorder="1" applyProtection="1"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3" fontId="0" fillId="0" borderId="14" xfId="0" applyNumberFormat="1" applyBorder="1" applyAlignment="1" applyProtection="1">
      <alignment horizontal="center" vertical="center"/>
      <protection hidden="1"/>
    </xf>
    <xf numFmtId="3" fontId="0" fillId="0" borderId="14" xfId="0" applyNumberFormat="1" applyFill="1" applyBorder="1" applyAlignment="1" applyProtection="1">
      <alignment horizontal="center" vertical="center"/>
      <protection hidden="1"/>
    </xf>
    <xf numFmtId="2" fontId="0" fillId="0" borderId="1" xfId="0" applyNumberForma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 textRotation="255"/>
      <protection hidden="1"/>
    </xf>
    <xf numFmtId="4" fontId="0" fillId="0" borderId="1" xfId="0" applyNumberFormat="1" applyBorder="1" applyAlignment="1" applyProtection="1">
      <alignment horizontal="center" vertical="center"/>
      <protection hidden="1"/>
    </xf>
    <xf numFmtId="3" fontId="0" fillId="0" borderId="1" xfId="0" applyNumberFormat="1" applyFill="1" applyBorder="1" applyAlignment="1" applyProtection="1">
      <alignment horizontal="center" vertical="center"/>
      <protection hidden="1"/>
    </xf>
    <xf numFmtId="1" fontId="0" fillId="0" borderId="1" xfId="0" applyNumberFormat="1" applyFill="1" applyBorder="1" applyAlignment="1" applyProtection="1">
      <alignment horizontal="center" vertical="center"/>
      <protection hidden="1"/>
    </xf>
    <xf numFmtId="4" fontId="0" fillId="4" borderId="30" xfId="0" applyNumberForma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2" fontId="0" fillId="6" borderId="41" xfId="0" applyNumberFormat="1" applyFill="1" applyBorder="1" applyAlignment="1" applyProtection="1">
      <alignment horizontal="center" vertical="center"/>
      <protection hidden="1"/>
    </xf>
    <xf numFmtId="4" fontId="0" fillId="0" borderId="28" xfId="0" applyNumberFormat="1" applyFill="1" applyBorder="1" applyAlignment="1" applyProtection="1">
      <alignment horizontal="center" vertical="center"/>
      <protection hidden="1"/>
    </xf>
    <xf numFmtId="4" fontId="0" fillId="0" borderId="42" xfId="0" applyNumberFormat="1" applyFill="1" applyBorder="1" applyAlignment="1" applyProtection="1">
      <alignment horizontal="center" vertical="center"/>
      <protection hidden="1"/>
    </xf>
    <xf numFmtId="4" fontId="0" fillId="0" borderId="17" xfId="0" applyNumberFormat="1" applyFill="1" applyBorder="1" applyAlignment="1" applyProtection="1">
      <alignment horizontal="center" vertical="center"/>
      <protection hidden="1"/>
    </xf>
    <xf numFmtId="4" fontId="0" fillId="0" borderId="33" xfId="0" applyNumberFormat="1" applyFill="1" applyBorder="1" applyAlignment="1" applyProtection="1">
      <alignment horizontal="center" vertical="center"/>
      <protection hidden="1"/>
    </xf>
    <xf numFmtId="4" fontId="0" fillId="0" borderId="0" xfId="0" applyNumberFormat="1" applyFill="1" applyBorder="1" applyAlignment="1" applyProtection="1">
      <alignment horizontal="center" vertical="center"/>
      <protection hidden="1"/>
    </xf>
    <xf numFmtId="4" fontId="0" fillId="0" borderId="20" xfId="0" applyNumberFormat="1" applyFill="1" applyBorder="1" applyAlignment="1" applyProtection="1">
      <alignment horizontal="center" vertical="center"/>
      <protection hidden="1"/>
    </xf>
    <xf numFmtId="4" fontId="0" fillId="0" borderId="38" xfId="0" applyNumberFormat="1" applyFill="1" applyBorder="1" applyAlignment="1" applyProtection="1">
      <alignment horizontal="center" vertical="center"/>
      <protection hidden="1"/>
    </xf>
    <xf numFmtId="4" fontId="0" fillId="0" borderId="43" xfId="0" applyNumberFormat="1" applyFill="1" applyBorder="1" applyAlignment="1" applyProtection="1">
      <alignment horizontal="center" vertical="center"/>
      <protection hidden="1"/>
    </xf>
    <xf numFmtId="4" fontId="0" fillId="0" borderId="12" xfId="0" applyNumberFormat="1" applyFill="1" applyBorder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horizontal="center"/>
      <protection hidden="1"/>
    </xf>
    <xf numFmtId="4" fontId="0" fillId="0" borderId="0" xfId="0" applyNumberFormat="1" applyFill="1" applyProtection="1">
      <protection hidden="1"/>
    </xf>
    <xf numFmtId="0" fontId="0" fillId="4" borderId="15" xfId="0" applyFill="1" applyBorder="1" applyAlignment="1" applyProtection="1">
      <alignment horizontal="center" vertical="center" textRotation="255"/>
      <protection hidden="1"/>
    </xf>
    <xf numFmtId="0" fontId="0" fillId="4" borderId="19" xfId="0" applyFill="1" applyBorder="1" applyAlignment="1" applyProtection="1">
      <alignment horizontal="center" vertical="center" textRotation="255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0" borderId="28" xfId="0" applyFill="1" applyBorder="1" applyProtection="1">
      <protection hidden="1"/>
    </xf>
    <xf numFmtId="2" fontId="0" fillId="0" borderId="2" xfId="0" applyNumberFormat="1" applyFill="1" applyBorder="1" applyAlignment="1" applyProtection="1">
      <alignment horizontal="center" vertical="center"/>
      <protection hidden="1"/>
    </xf>
    <xf numFmtId="0" fontId="0" fillId="0" borderId="33" xfId="0" applyFill="1" applyBorder="1" applyAlignment="1" applyProtection="1">
      <alignment horizontal="center" vertical="center"/>
      <protection hidden="1"/>
    </xf>
    <xf numFmtId="2" fontId="0" fillId="0" borderId="1" xfId="0" applyNumberFormat="1" applyFill="1" applyBorder="1" applyAlignment="1" applyProtection="1">
      <alignment horizontal="center"/>
      <protection hidden="1"/>
    </xf>
    <xf numFmtId="0" fontId="0" fillId="0" borderId="33" xfId="0" applyFill="1" applyBorder="1" applyProtection="1">
      <protection hidden="1"/>
    </xf>
    <xf numFmtId="2" fontId="0" fillId="0" borderId="1" xfId="0" applyNumberFormat="1" applyBorder="1" applyAlignment="1" applyProtection="1">
      <alignment horizontal="center"/>
      <protection hidden="1"/>
    </xf>
    <xf numFmtId="0" fontId="0" fillId="0" borderId="33" xfId="0" applyBorder="1" applyProtection="1">
      <protection hidden="1"/>
    </xf>
    <xf numFmtId="2" fontId="0" fillId="0" borderId="2" xfId="0" applyNumberFormat="1" applyBorder="1" applyAlignment="1" applyProtection="1">
      <alignment horizontal="center" vertical="center"/>
      <protection hidden="1"/>
    </xf>
    <xf numFmtId="0" fontId="0" fillId="4" borderId="14" xfId="0" applyFill="1" applyBorder="1" applyAlignment="1" applyProtection="1">
      <alignment horizontal="center" vertical="center" textRotation="255"/>
      <protection hidden="1"/>
    </xf>
    <xf numFmtId="0" fontId="0" fillId="4" borderId="15" xfId="0" applyFont="1" applyFill="1" applyBorder="1" applyAlignment="1" applyProtection="1">
      <alignment horizontal="center" vertical="center" textRotation="255" wrapText="1"/>
      <protection hidden="1"/>
    </xf>
    <xf numFmtId="0" fontId="0" fillId="4" borderId="19" xfId="0" applyFont="1" applyFill="1" applyBorder="1" applyAlignment="1" applyProtection="1">
      <alignment horizontal="center" vertical="center" textRotation="255" wrapText="1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18" xfId="0" applyFill="1" applyBorder="1" applyAlignment="1" applyProtection="1">
      <alignment horizontal="center" vertical="center"/>
      <protection hidden="1"/>
    </xf>
    <xf numFmtId="0" fontId="0" fillId="4" borderId="14" xfId="0" applyFont="1" applyFill="1" applyBorder="1" applyAlignment="1" applyProtection="1">
      <alignment horizontal="center" vertical="center" textRotation="255" wrapText="1"/>
      <protection hidden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4" fontId="0" fillId="0" borderId="2" xfId="0" applyNumberFormat="1" applyBorder="1" applyAlignment="1" applyProtection="1">
      <alignment horizontal="center" vertical="center"/>
      <protection hidden="1"/>
    </xf>
    <xf numFmtId="4" fontId="0" fillId="0" borderId="21" xfId="0" applyNumberFormat="1" applyBorder="1" applyAlignment="1" applyProtection="1">
      <alignment horizontal="center" vertical="center"/>
      <protection hidden="1"/>
    </xf>
    <xf numFmtId="4" fontId="0" fillId="0" borderId="23" xfId="0" applyNumberFormat="1" applyBorder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4" fontId="0" fillId="8" borderId="1" xfId="0" applyNumberFormat="1" applyFill="1" applyBorder="1" applyAlignment="1" applyProtection="1">
      <alignment horizontal="center" vertical="center"/>
      <protection hidden="1"/>
    </xf>
    <xf numFmtId="4" fontId="0" fillId="8" borderId="2" xfId="0" applyNumberFormat="1" applyFill="1" applyBorder="1" applyAlignment="1" applyProtection="1">
      <alignment horizontal="center" vertical="center"/>
      <protection hidden="1"/>
    </xf>
    <xf numFmtId="4" fontId="0" fillId="8" borderId="21" xfId="0" applyNumberFormat="1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4" fontId="0" fillId="3" borderId="1" xfId="0" applyNumberFormat="1" applyFill="1" applyBorder="1" applyAlignment="1" applyProtection="1">
      <alignment horizontal="center" vertical="center"/>
      <protection hidden="1"/>
    </xf>
    <xf numFmtId="4" fontId="0" fillId="3" borderId="2" xfId="0" applyNumberFormat="1" applyFill="1" applyBorder="1" applyAlignment="1" applyProtection="1">
      <alignment horizontal="center" vertical="center"/>
      <protection hidden="1"/>
    </xf>
    <xf numFmtId="4" fontId="0" fillId="3" borderId="21" xfId="0" applyNumberFormat="1" applyFill="1" applyBorder="1" applyAlignment="1" applyProtection="1">
      <alignment horizontal="center" vertical="center"/>
      <protection hidden="1"/>
    </xf>
    <xf numFmtId="4" fontId="0" fillId="3" borderId="23" xfId="0" applyNumberForma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16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textRotation="90"/>
      <protection hidden="1"/>
    </xf>
    <xf numFmtId="0" fontId="0" fillId="0" borderId="0" xfId="0" applyAlignment="1" applyProtection="1">
      <alignment vertical="center"/>
      <protection hidden="1"/>
    </xf>
    <xf numFmtId="1" fontId="0" fillId="0" borderId="1" xfId="0" applyNumberForma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9525</xdr:colOff>
      <xdr:row>36</xdr:row>
      <xdr:rowOff>19050</xdr:rowOff>
    </xdr:from>
    <xdr:to>
      <xdr:col>48</xdr:col>
      <xdr:colOff>408817</xdr:colOff>
      <xdr:row>48</xdr:row>
      <xdr:rowOff>180667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36400" y="6953250"/>
          <a:ext cx="6066667" cy="2466667"/>
        </a:xfrm>
        <a:prstGeom prst="rect">
          <a:avLst/>
        </a:prstGeom>
      </xdr:spPr>
    </xdr:pic>
    <xdr:clientData/>
  </xdr:twoCellAnchor>
  <xdr:twoCellAnchor editAs="oneCell">
    <xdr:from>
      <xdr:col>39</xdr:col>
      <xdr:colOff>9525</xdr:colOff>
      <xdr:row>49</xdr:row>
      <xdr:rowOff>123825</xdr:rowOff>
    </xdr:from>
    <xdr:to>
      <xdr:col>49</xdr:col>
      <xdr:colOff>513503</xdr:colOff>
      <xdr:row>61</xdr:row>
      <xdr:rowOff>37825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536400" y="9553575"/>
          <a:ext cx="6780953" cy="2200000"/>
        </a:xfrm>
        <a:prstGeom prst="rect">
          <a:avLst/>
        </a:prstGeom>
      </xdr:spPr>
    </xdr:pic>
    <xdr:clientData/>
  </xdr:twoCellAnchor>
  <xdr:twoCellAnchor>
    <xdr:from>
      <xdr:col>39</xdr:col>
      <xdr:colOff>19050</xdr:colOff>
      <xdr:row>61</xdr:row>
      <xdr:rowOff>161925</xdr:rowOff>
    </xdr:from>
    <xdr:to>
      <xdr:col>48</xdr:col>
      <xdr:colOff>142152</xdr:colOff>
      <xdr:row>68</xdr:row>
      <xdr:rowOff>95095</xdr:rowOff>
    </xdr:to>
    <xdr:grpSp>
      <xdr:nvGrpSpPr>
        <xdr:cNvPr id="4" name="Grupo 3"/>
        <xdr:cNvGrpSpPr/>
      </xdr:nvGrpSpPr>
      <xdr:grpSpPr>
        <a:xfrm>
          <a:off x="24545925" y="11877675"/>
          <a:ext cx="5790477" cy="1266670"/>
          <a:chOff x="24545925" y="11858625"/>
          <a:chExt cx="5790477" cy="1238095"/>
        </a:xfrm>
      </xdr:grpSpPr>
      <xdr:pic>
        <xdr:nvPicPr>
          <xdr:cNvPr id="5" name="Imagem 4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4545925" y="11858625"/>
            <a:ext cx="5790477" cy="1238095"/>
          </a:xfrm>
          <a:prstGeom prst="rect">
            <a:avLst/>
          </a:prstGeom>
        </xdr:spPr>
      </xdr:pic>
      <xdr:sp macro="" textlink="">
        <xdr:nvSpPr>
          <xdr:cNvPr id="6" name="CaixaDeTexto 5"/>
          <xdr:cNvSpPr txBox="1"/>
        </xdr:nvSpPr>
        <xdr:spPr>
          <a:xfrm>
            <a:off x="24993600" y="11830050"/>
            <a:ext cx="723899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PT" sz="1100"/>
              <a:t>2012</a:t>
            </a:r>
          </a:p>
          <a:p>
            <a:endParaRPr lang="pt-PT" sz="110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fevereiro/Gr&#225;ficos%20Consumos%20(02.03.14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7/Agosto2007_Nova_formul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7/Setembro2007_Nova_formul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7/Outubro2007_Nova_formul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7/Novembro2007_Nova_formul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7/Dezembro2007_Nova_formul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8/Janeiro2008_Nova_formul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8/Fevereiro2008_Nova_formul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8/Marco2008_Nova_formul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8/Abril2008_Nova_formul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8/Maio2008_Nova_formul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Vers&#245;es%20Provis&#243;rias/Excel/Ocupa&#231;&#227;o_Espa&#231;os/Ocup_2012/Ocup_Dezembro_201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8/Junho2008_Nova_formul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8/Julho2008_Nova_formul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8/Agosto2008_Nova_formul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8/Setembro2008_Nova_formul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8/Outubro2008_Nova_formul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8/Novembro2008_Nova_formul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8/Dezembro2008_Nova_formul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9/Janeiro2009_Nova_formul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9/Fevereiro2009_Nova_formul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9/Marco2009_Nova_formul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7/Janeiro2007_Nova_formul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9/Abril2009_Nova_formul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9/Maio2009_Nova_formula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9/Junho2009_Nova_formul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9/Julho2009_Nova_formul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9/Agosto2009_Nova_formul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9/Setembro2009_Nova_formula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9/Outubro2009_Nova_formul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9/Novembro2009_Nova_formul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9/Dezembro2009_Nova_formul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0/Janeiro2010_Nova_formul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7/Fevereiro2007_Nova_formul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0/Fevereiro2010_Nova_formula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0/Marco2010_Nova_formula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0/Abril2010_Nova_formula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0/Maio2010_Nova_formul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0/Junho2010_Nova_formul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0/Julho2010_Nova_formul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0/Agosto2010_Nova_formul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0/Setembro2010_Nova_formul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0/Outubro2010_Nova_formula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0/Novembro2010_Nova_formul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7/Mar&#231;o2007_Nova_formul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0/Dezembro2010_Nova_formul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1/Janeiro2011_Nova_formul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1/Fevereiro2011_Nova_formul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1/Marco2011_Nova_formula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1/Abril2011_Nova_formul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1/Maio2011_Nova_formul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1/Junho2011_Nova_formul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1/Julho2011_Nova_formul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1/Agosto2011_Nova_formul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1/Setembro2011_Nova_formul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7/Abril2007_Nova_formula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1/Outubro2011_Nova_formul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1/Novembro2011_Nova_formul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1/Dezembro2011_Nova_formul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2/Janeiro2012_Nova_formul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2/Fevereiro2012_Nova_formul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2/Marco2012_Nova_formul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2/Abril2012_Nova_formul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2/Maio2012_Nova_formula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2/Junho2012_Nova_formul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2/Julho2012_Nova_formu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7/Maio2007_Nova_formula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2/Agosto2012_Nova_formula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2/Setembro2012_Nova_formul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2/Outubro2012_Nova_formul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2/Novembro2012_Nova_formula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12/Dezembro2012_Nova_formul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7/Junho2007_Nova_formul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ropbox/TFM/Bibliografia/CCB/Imputa&#231;&#227;o%20de%20Custos/Impc2007/Julho2007_Nova_formu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is 2012 MOD's"/>
      <sheetName val="Globais 07-12 MOD's"/>
      <sheetName val="Mensais 07-12 MOD's"/>
      <sheetName val="FimOcup.BB_2"/>
      <sheetName val="Regressão_1"/>
      <sheetName val="Regressão_2"/>
      <sheetName val="Regressão_3"/>
      <sheetName val="FimOcup._3"/>
      <sheetName val="Chillers_3"/>
      <sheetName val="FimOcup.Foyer_2"/>
      <sheetName val="Chillers_1"/>
      <sheetName val="Chillers_2"/>
      <sheetName val="Indicadores"/>
      <sheetName val="Folha1"/>
    </sheetNames>
    <sheetDataSet>
      <sheetData sheetId="0"/>
      <sheetData sheetId="1">
        <row r="61">
          <cell r="D61">
            <v>3307269.7316184174</v>
          </cell>
        </row>
        <row r="99">
          <cell r="D99">
            <v>3353544.965398958</v>
          </cell>
        </row>
        <row r="137">
          <cell r="D137">
            <v>3607143.1691247453</v>
          </cell>
        </row>
        <row r="175">
          <cell r="D175">
            <v>3050167.4153196006</v>
          </cell>
        </row>
        <row r="213">
          <cell r="D213">
            <v>3583942.8866500771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38133.462951559355</v>
          </cell>
          <cell r="E40">
            <v>12113.737643445444</v>
          </cell>
        </row>
      </sheetData>
      <sheetData sheetId="10">
        <row r="22">
          <cell r="E22">
            <v>911.28808574928314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50127.450625584694</v>
          </cell>
          <cell r="E40">
            <v>20297.093175572099</v>
          </cell>
        </row>
      </sheetData>
      <sheetData sheetId="10">
        <row r="22">
          <cell r="E22">
            <v>9559.6939775146966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46525.101732463772</v>
          </cell>
          <cell r="E40">
            <v>25952.511604577005</v>
          </cell>
        </row>
      </sheetData>
      <sheetData sheetId="10">
        <row r="22">
          <cell r="E22">
            <v>8376.0057695937248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39542.238106011115</v>
          </cell>
          <cell r="E40">
            <v>21459.642178789301</v>
          </cell>
        </row>
      </sheetData>
      <sheetData sheetId="10">
        <row r="22">
          <cell r="E22">
            <v>12568.031792665504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Evolução_Mensal_Gás"/>
      <sheetName val="Evolução_Mensal_EDP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46645.547540967716</v>
          </cell>
          <cell r="E40">
            <v>15440.150062164004</v>
          </cell>
        </row>
      </sheetData>
      <sheetData sheetId="10">
        <row r="22">
          <cell r="E22">
            <v>12400.246793598593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39712.430321214306</v>
          </cell>
          <cell r="E40">
            <v>19862.203764757327</v>
          </cell>
        </row>
      </sheetData>
      <sheetData sheetId="10">
        <row r="22">
          <cell r="E22">
            <v>12958.553607425818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36407.631108684764</v>
          </cell>
          <cell r="E40">
            <v>23185.278642090765</v>
          </cell>
        </row>
      </sheetData>
      <sheetData sheetId="10">
        <row r="22">
          <cell r="E22">
            <v>12439.982723838364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38208.789518756967</v>
          </cell>
          <cell r="E40">
            <v>18359.336410867443</v>
          </cell>
        </row>
      </sheetData>
      <sheetData sheetId="10">
        <row r="22">
          <cell r="E22">
            <v>12642.851631174182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48283.721450962221</v>
          </cell>
          <cell r="E40">
            <v>25016.739779503627</v>
          </cell>
        </row>
      </sheetData>
      <sheetData sheetId="10">
        <row r="22">
          <cell r="E22">
            <v>6967.8698446229382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51077.243420678162</v>
          </cell>
          <cell r="E40">
            <v>18012.368043785522</v>
          </cell>
        </row>
      </sheetData>
      <sheetData sheetId="10">
        <row r="22">
          <cell r="E22">
            <v>4276.19290686559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lha1"/>
      <sheetName val="Folha2"/>
      <sheetName val="Folha3"/>
    </sheetNames>
    <sheetDataSet>
      <sheetData sheetId="0">
        <row r="4">
          <cell r="AJ4">
            <v>253</v>
          </cell>
          <cell r="BD4">
            <v>1660</v>
          </cell>
        </row>
        <row r="5">
          <cell r="BD5">
            <v>168</v>
          </cell>
        </row>
        <row r="6">
          <cell r="BD6">
            <v>123</v>
          </cell>
        </row>
        <row r="7">
          <cell r="BD7">
            <v>212</v>
          </cell>
        </row>
        <row r="8">
          <cell r="BD8">
            <v>70</v>
          </cell>
        </row>
        <row r="9">
          <cell r="AU9">
            <v>1493</v>
          </cell>
          <cell r="BD9">
            <v>576</v>
          </cell>
        </row>
        <row r="10">
          <cell r="BD10">
            <v>227</v>
          </cell>
        </row>
        <row r="11">
          <cell r="BD11">
            <v>460</v>
          </cell>
        </row>
        <row r="12">
          <cell r="BD12">
            <v>48</v>
          </cell>
        </row>
        <row r="13">
          <cell r="AU13">
            <v>538</v>
          </cell>
          <cell r="BD13">
            <v>633</v>
          </cell>
        </row>
        <row r="14">
          <cell r="BD14">
            <v>268</v>
          </cell>
        </row>
        <row r="17">
          <cell r="AJ17">
            <v>276</v>
          </cell>
          <cell r="BD17">
            <v>108</v>
          </cell>
        </row>
        <row r="18">
          <cell r="BD18">
            <v>310</v>
          </cell>
        </row>
        <row r="19">
          <cell r="BD19">
            <v>45</v>
          </cell>
        </row>
        <row r="20">
          <cell r="BD20">
            <v>1241</v>
          </cell>
        </row>
        <row r="21">
          <cell r="AJ21">
            <v>1700</v>
          </cell>
          <cell r="BD21">
            <v>144</v>
          </cell>
        </row>
        <row r="23">
          <cell r="AJ23">
            <v>600</v>
          </cell>
        </row>
        <row r="25">
          <cell r="BD25">
            <v>1371</v>
          </cell>
        </row>
        <row r="26">
          <cell r="BD26">
            <v>900</v>
          </cell>
        </row>
        <row r="29">
          <cell r="BD29">
            <v>22</v>
          </cell>
        </row>
        <row r="30">
          <cell r="BD30">
            <v>15</v>
          </cell>
        </row>
        <row r="31">
          <cell r="BD31">
            <v>20</v>
          </cell>
        </row>
        <row r="35">
          <cell r="BD35">
            <v>589</v>
          </cell>
        </row>
        <row r="36">
          <cell r="BD36">
            <v>665</v>
          </cell>
        </row>
        <row r="56">
          <cell r="Y56">
            <v>43391.900000000009</v>
          </cell>
        </row>
      </sheetData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38484.352054832452</v>
          </cell>
          <cell r="E40">
            <v>13834.990126244391</v>
          </cell>
        </row>
      </sheetData>
      <sheetData sheetId="10">
        <row r="22">
          <cell r="E22">
            <v>3091.4474775013314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40627.29554528591</v>
          </cell>
          <cell r="E40">
            <v>16445.759154588293</v>
          </cell>
        </row>
      </sheetData>
      <sheetData sheetId="10">
        <row r="22">
          <cell r="E22">
            <v>15365.666845189142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37546.661395898307</v>
          </cell>
          <cell r="E40">
            <v>9795.7066009847349</v>
          </cell>
        </row>
      </sheetData>
      <sheetData sheetId="10">
        <row r="22">
          <cell r="E22">
            <v>5244.6293277653986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60209.33179923553</v>
          </cell>
          <cell r="E40">
            <v>17859.785675216473</v>
          </cell>
        </row>
      </sheetData>
      <sheetData sheetId="10">
        <row r="22">
          <cell r="E22">
            <v>7655.6782165925206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39222.278596528253</v>
          </cell>
          <cell r="E40">
            <v>19326.502629659641</v>
          </cell>
        </row>
      </sheetData>
      <sheetData sheetId="10">
        <row r="22">
          <cell r="E22">
            <v>5491.4810703766652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38722.88927484148</v>
          </cell>
          <cell r="E40">
            <v>15096.747348018245</v>
          </cell>
        </row>
      </sheetData>
      <sheetData sheetId="10">
        <row r="22">
          <cell r="E22">
            <v>8967.5848797578165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46894.954926845436</v>
          </cell>
          <cell r="E40">
            <v>16531.141539640543</v>
          </cell>
        </row>
      </sheetData>
      <sheetData sheetId="10">
        <row r="22">
          <cell r="E22">
            <v>6139.6489635224025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36867.097194919334</v>
          </cell>
          <cell r="E40">
            <v>16629.235229080579</v>
          </cell>
        </row>
      </sheetData>
      <sheetData sheetId="10">
        <row r="22">
          <cell r="E22">
            <v>12357.398842670942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36566.902572773419</v>
          </cell>
          <cell r="E40">
            <v>18861.554528058987</v>
          </cell>
        </row>
      </sheetData>
      <sheetData sheetId="10">
        <row r="22">
          <cell r="E22">
            <v>7976.6496087344467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44057.577181479071</v>
          </cell>
          <cell r="E40">
            <v>21020.006877886168</v>
          </cell>
        </row>
      </sheetData>
      <sheetData sheetId="10">
        <row r="22">
          <cell r="E22">
            <v>6830.3771230991806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 CLIENTES"/>
      <sheetName val="EDP"/>
      <sheetName val="Rosto_sem_quente"/>
      <sheetName val="Rost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53308.089192414918</v>
          </cell>
          <cell r="E40">
            <v>21304.289427505137</v>
          </cell>
        </row>
      </sheetData>
      <sheetData sheetId="10">
        <row r="22">
          <cell r="E22">
            <v>7395.2075629006113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45190.527069835975</v>
          </cell>
          <cell r="E40">
            <v>15720.998985375132</v>
          </cell>
        </row>
      </sheetData>
      <sheetData sheetId="10">
        <row r="22">
          <cell r="E22">
            <v>5278.3629899369807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43977.866276298257</v>
          </cell>
          <cell r="E40">
            <v>18146.564510262142</v>
          </cell>
        </row>
      </sheetData>
      <sheetData sheetId="10">
        <row r="22">
          <cell r="E22">
            <v>6066.0911023743101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46685.164366728706</v>
          </cell>
          <cell r="E40">
            <v>13669.530096405206</v>
          </cell>
        </row>
      </sheetData>
      <sheetData sheetId="10">
        <row r="22">
          <cell r="E22">
            <v>4948.0828630291962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44105.278072858571</v>
          </cell>
          <cell r="E40">
            <v>15979.58592435125</v>
          </cell>
        </row>
      </sheetData>
      <sheetData sheetId="10">
        <row r="22">
          <cell r="E22">
            <v>6481.4439062140427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39791.653774547267</v>
          </cell>
          <cell r="E40">
            <v>8027.8440949499582</v>
          </cell>
        </row>
      </sheetData>
      <sheetData sheetId="10">
        <row r="22">
          <cell r="E22">
            <v>3367.0978228301774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51175.26767227376</v>
          </cell>
          <cell r="E40">
            <v>18137.626132852838</v>
          </cell>
        </row>
      </sheetData>
      <sheetData sheetId="10">
        <row r="22">
          <cell r="E22">
            <v>8399.7484000467866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40351.700344730038</v>
          </cell>
          <cell r="E40">
            <v>22195.578687854864</v>
          </cell>
        </row>
      </sheetData>
      <sheetData sheetId="10">
        <row r="22">
          <cell r="E22">
            <v>9418.9163933154723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46506.894308374591</v>
          </cell>
          <cell r="E40">
            <v>21156.366342359219</v>
          </cell>
        </row>
      </sheetData>
      <sheetData sheetId="10">
        <row r="22">
          <cell r="E22">
            <v>5681.9365447771115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45693.439605420092</v>
          </cell>
          <cell r="E40">
            <v>15999.821220091022</v>
          </cell>
        </row>
      </sheetData>
      <sheetData sheetId="10">
        <row r="22">
          <cell r="E22">
            <v>6307.5451329276029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42371.99539081446</v>
          </cell>
          <cell r="E40">
            <v>18078.551525916806</v>
          </cell>
        </row>
      </sheetData>
      <sheetData sheetId="10">
        <row r="22">
          <cell r="E22">
            <v>16372.440624573685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42870.214025802692</v>
          </cell>
          <cell r="E40">
            <v>19200.730316096422</v>
          </cell>
        </row>
      </sheetData>
      <sheetData sheetId="10">
        <row r="22">
          <cell r="E22">
            <v>12409.921626626254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49119.953591059653</v>
          </cell>
          <cell r="E40">
            <v>16179.379874877764</v>
          </cell>
        </row>
      </sheetData>
      <sheetData sheetId="10">
        <row r="22">
          <cell r="E22">
            <v>9138.7903082445609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46807.650327616393</v>
          </cell>
          <cell r="E40">
            <v>20876.74780291814</v>
          </cell>
        </row>
      </sheetData>
      <sheetData sheetId="10">
        <row r="22">
          <cell r="E22">
            <v>12458.667086535439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43063.068604441956</v>
          </cell>
          <cell r="E40">
            <v>19206.621494185089</v>
          </cell>
        </row>
      </sheetData>
      <sheetData sheetId="10">
        <row r="22">
          <cell r="E22">
            <v>5140.7068018961245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51701.566087244915</v>
          </cell>
          <cell r="E40">
            <v>16277.578809991915</v>
          </cell>
        </row>
      </sheetData>
      <sheetData sheetId="10">
        <row r="22">
          <cell r="E22">
            <v>4583.4252629422872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44201.684778141309</v>
          </cell>
          <cell r="E40">
            <v>18598.041379696602</v>
          </cell>
        </row>
      </sheetData>
      <sheetData sheetId="10">
        <row r="22">
          <cell r="E22">
            <v>10274.334635886309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44265.225416457048</v>
          </cell>
          <cell r="E40">
            <v>13704.240436320877</v>
          </cell>
        </row>
      </sheetData>
      <sheetData sheetId="10">
        <row r="22">
          <cell r="E22">
            <v>7255.6776922503786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42401.941938259894</v>
          </cell>
          <cell r="E40">
            <v>9550.2069688131451</v>
          </cell>
        </row>
      </sheetData>
      <sheetData sheetId="10">
        <row r="22">
          <cell r="E22">
            <v>4642.2840531124439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35750.807942647181</v>
          </cell>
          <cell r="E40">
            <v>15020.917609943494</v>
          </cell>
        </row>
      </sheetData>
      <sheetData sheetId="10">
        <row r="22">
          <cell r="E22">
            <v>9105.6361093833148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44123.495853009852</v>
          </cell>
          <cell r="E40">
            <v>19793.743334358031</v>
          </cell>
        </row>
      </sheetData>
      <sheetData sheetId="10">
        <row r="22">
          <cell r="E22">
            <v>6915.2582248546387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32701.151501564964</v>
          </cell>
          <cell r="E40">
            <v>14565.153722787933</v>
          </cell>
        </row>
      </sheetData>
      <sheetData sheetId="10">
        <row r="22">
          <cell r="E22">
            <v>7545.3998103652366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52540.268609994215</v>
          </cell>
          <cell r="E40">
            <v>23714.358483266893</v>
          </cell>
        </row>
      </sheetData>
      <sheetData sheetId="10">
        <row r="22">
          <cell r="E22">
            <v>13383.828806938873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40936.069385642382</v>
          </cell>
          <cell r="E40">
            <v>13912.443824774895</v>
          </cell>
        </row>
      </sheetData>
      <sheetData sheetId="10">
        <row r="22">
          <cell r="E22">
            <v>7082.6616831669498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48161.322392300812</v>
          </cell>
          <cell r="E40">
            <v>17050.894264390405</v>
          </cell>
        </row>
      </sheetData>
      <sheetData sheetId="10">
        <row r="22">
          <cell r="E22">
            <v>16027.215832065731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50228.482441469045</v>
          </cell>
          <cell r="E40">
            <v>17922.776543361641</v>
          </cell>
        </row>
      </sheetData>
      <sheetData sheetId="10">
        <row r="22">
          <cell r="E22">
            <v>6710.4898005566747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3"/>
      <sheetName val="Folha2"/>
      <sheetName val="Folha1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46146.717273905895</v>
          </cell>
          <cell r="E40">
            <v>15204.5752067216</v>
          </cell>
        </row>
      </sheetData>
      <sheetData sheetId="10">
        <row r="22">
          <cell r="E22">
            <v>3317.3179096715512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42579.283672539445</v>
          </cell>
          <cell r="E40">
            <v>14643.757849843216</v>
          </cell>
        </row>
      </sheetData>
      <sheetData sheetId="10">
        <row r="22">
          <cell r="E22">
            <v>2108.5854917882843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49253.033369470715</v>
          </cell>
          <cell r="E40">
            <v>19252.572399405115</v>
          </cell>
        </row>
      </sheetData>
      <sheetData sheetId="10">
        <row r="22">
          <cell r="E22">
            <v>6865.74048349241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40802.199253212115</v>
          </cell>
          <cell r="E40">
            <v>16845.861430206824</v>
          </cell>
        </row>
      </sheetData>
      <sheetData sheetId="10">
        <row r="22">
          <cell r="E22">
            <v>6094.369701412943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39226.496560317515</v>
          </cell>
          <cell r="E40">
            <v>12523.078589824934</v>
          </cell>
        </row>
      </sheetData>
      <sheetData sheetId="10">
        <row r="22">
          <cell r="E22">
            <v>4233.7200343026025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35104.278605374479</v>
          </cell>
          <cell r="E40">
            <v>8194.6715844255486</v>
          </cell>
        </row>
      </sheetData>
      <sheetData sheetId="10">
        <row r="22">
          <cell r="E22">
            <v>1316.2250063395138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33281.963693710284</v>
          </cell>
          <cell r="E40">
            <v>12282.929544623956</v>
          </cell>
        </row>
      </sheetData>
      <sheetData sheetId="10">
        <row r="22">
          <cell r="E22">
            <v>6351.9538506034542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54347.724186769854</v>
          </cell>
          <cell r="E40">
            <v>23026.300692205739</v>
          </cell>
        </row>
      </sheetData>
      <sheetData sheetId="10">
        <row r="22">
          <cell r="E22">
            <v>9801.0928997483843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41455.574506688143</v>
          </cell>
          <cell r="E40">
            <v>14715.667284437142</v>
          </cell>
        </row>
      </sheetData>
      <sheetData sheetId="10">
        <row r="22">
          <cell r="E22">
            <v>5319.2284819038423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42019.242550500603</v>
          </cell>
          <cell r="E40">
            <v>17141.247368272561</v>
          </cell>
        </row>
      </sheetData>
      <sheetData sheetId="10">
        <row r="22">
          <cell r="E22">
            <v>9915.7980859276722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39548.030667373634</v>
          </cell>
          <cell r="E40">
            <v>13448.319141053484</v>
          </cell>
        </row>
      </sheetData>
      <sheetData sheetId="10">
        <row r="22">
          <cell r="E22">
            <v>7857.7103911749109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38586.018941240574</v>
          </cell>
          <cell r="E40">
            <v>19942.276273359683</v>
          </cell>
        </row>
      </sheetData>
      <sheetData sheetId="10">
        <row r="22">
          <cell r="E22">
            <v>6772.6494448818494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49869.621118751325</v>
          </cell>
          <cell r="E40">
            <v>14029.002052228429</v>
          </cell>
        </row>
      </sheetData>
      <sheetData sheetId="10">
        <row r="22">
          <cell r="E22">
            <v>10689.618632383064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43143.83988913439</v>
          </cell>
          <cell r="E40">
            <v>12393.634535111572</v>
          </cell>
        </row>
      </sheetData>
      <sheetData sheetId="10">
        <row r="22">
          <cell r="E22">
            <v>4354.035332127447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50543.851201029829</v>
          </cell>
          <cell r="E40">
            <v>16972.512577807083</v>
          </cell>
        </row>
      </sheetData>
      <sheetData sheetId="10">
        <row r="22">
          <cell r="E22">
            <v>3714.0518017855293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47835.626857452982</v>
          </cell>
          <cell r="E40">
            <v>15261.477275925365</v>
          </cell>
        </row>
      </sheetData>
      <sheetData sheetId="10">
        <row r="22">
          <cell r="E22">
            <v>3533.9027871901626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43694.206490290409</v>
          </cell>
          <cell r="E40">
            <v>12605.850786165742</v>
          </cell>
        </row>
      </sheetData>
      <sheetData sheetId="10">
        <row r="22">
          <cell r="E22">
            <v>3087.6342941833959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37695.331636255069</v>
          </cell>
          <cell r="E40">
            <v>9557.467179276342</v>
          </cell>
        </row>
      </sheetData>
      <sheetData sheetId="10">
        <row r="11">
          <cell r="B11">
            <v>35</v>
          </cell>
          <cell r="E11">
            <v>579.78704191641464</v>
          </cell>
        </row>
        <row r="22">
          <cell r="E22">
            <v>6298.7273536639232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51866.576465115635</v>
          </cell>
          <cell r="E40">
            <v>28258.717502072173</v>
          </cell>
        </row>
      </sheetData>
      <sheetData sheetId="10">
        <row r="22">
          <cell r="E22">
            <v>6317.1052010619323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27626.085418039427</v>
          </cell>
          <cell r="E40">
            <v>3425.7875878901123</v>
          </cell>
        </row>
      </sheetData>
      <sheetData sheetId="10">
        <row r="22">
          <cell r="E22">
            <v>2781.6651557377904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38985.224293125968</v>
          </cell>
          <cell r="E40">
            <v>18173.532687727689</v>
          </cell>
        </row>
      </sheetData>
      <sheetData sheetId="10">
        <row r="22">
          <cell r="E22">
            <v>8345.7085894148313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29330.798139481951</v>
          </cell>
          <cell r="E40">
            <v>17598.751057383226</v>
          </cell>
        </row>
      </sheetData>
      <sheetData sheetId="10">
        <row r="22">
          <cell r="E22">
            <v>2765.9546966511512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18935.874380208195</v>
          </cell>
          <cell r="E40">
            <v>18852.674525456565</v>
          </cell>
        </row>
      </sheetData>
      <sheetData sheetId="10">
        <row r="22">
          <cell r="E22">
            <v>12005.901825807105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Folha1"/>
      <sheetName val="Folha3"/>
      <sheetName val="Folha2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23059.242660088017</v>
          </cell>
          <cell r="E40">
            <v>18451.343353065717</v>
          </cell>
        </row>
      </sheetData>
      <sheetData sheetId="10">
        <row r="11">
          <cell r="B11">
            <v>40</v>
          </cell>
          <cell r="E11">
            <v>1603.9779556777951</v>
          </cell>
        </row>
        <row r="22">
          <cell r="E22">
            <v>7089.5804048393775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57768.374214091447</v>
          </cell>
          <cell r="E40">
            <v>19829.348178641696</v>
          </cell>
        </row>
      </sheetData>
      <sheetData sheetId="10">
        <row r="22">
          <cell r="E22">
            <v>7316.3886167222308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M1"/>
      <sheetName val="CEM1"/>
      <sheetName val="CGM2"/>
      <sheetName val="CGM3"/>
      <sheetName val="CEM3"/>
      <sheetName val="CEM2"/>
      <sheetName val="CCLI"/>
      <sheetName val="IPCLIS"/>
      <sheetName val="ITVA"/>
      <sheetName val="CGES"/>
      <sheetName val="UTAS"/>
      <sheetName val="Sheet12"/>
      <sheetName val="Sheet13"/>
      <sheetName val="Sheet14"/>
      <sheetName val="Sheet15"/>
      <sheetName val="Sheet16"/>
      <sheetName val="Sheet17"/>
      <sheetName val="Sheet3"/>
      <sheetName val="Sheet1"/>
      <sheetName val="Sheet2"/>
      <sheetName val="Module1"/>
      <sheetName val="Sheet4"/>
      <sheetName val="C. DIÁRIOS"/>
      <sheetName val="GÁS CALDEIRAS"/>
      <sheetName val="GÁS_ÁGUA CLIENTES"/>
      <sheetName val="EDP"/>
      <sheetName val="Rosto_sem_quente"/>
      <sheetName val="Rosto"/>
      <sheetName val="Agua"/>
      <sheetName val="Berardo"/>
      <sheetName val="IMPRIM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0">
          <cell r="D40">
            <v>52054.252762245858</v>
          </cell>
          <cell r="E40">
            <v>22190.146535685857</v>
          </cell>
        </row>
      </sheetData>
      <sheetData sheetId="10">
        <row r="22">
          <cell r="E22">
            <v>10559.874040407167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Y147"/>
  <sheetViews>
    <sheetView tabSelected="1" zoomScaleNormal="100" workbookViewId="0">
      <selection activeCell="H12" sqref="H12"/>
    </sheetView>
  </sheetViews>
  <sheetFormatPr defaultRowHeight="15" x14ac:dyDescent="0.25"/>
  <cols>
    <col min="1" max="3" width="9.140625" style="1"/>
    <col min="4" max="4" width="10.28515625" style="1" customWidth="1"/>
    <col min="5" max="10" width="9.140625" style="1"/>
    <col min="11" max="11" width="9.5703125" style="1" bestFit="1" customWidth="1"/>
    <col min="12" max="12" width="9.5703125" style="1" customWidth="1"/>
    <col min="13" max="13" width="9.140625" style="1" customWidth="1"/>
    <col min="14" max="14" width="9.140625" style="2"/>
    <col min="15" max="15" width="9.140625" style="3"/>
    <col min="16" max="16" width="9.140625" style="2"/>
    <col min="17" max="18" width="9.140625" style="1"/>
    <col min="19" max="19" width="9.85546875" style="1" bestFit="1" customWidth="1"/>
    <col min="20" max="20" width="9.85546875" style="1" customWidth="1"/>
    <col min="21" max="21" width="10" style="1" bestFit="1" customWidth="1"/>
    <col min="22" max="22" width="9.28515625" style="1" bestFit="1" customWidth="1"/>
    <col min="23" max="25" width="9.140625" style="1"/>
    <col min="26" max="26" width="9.140625" style="2"/>
    <col min="27" max="27" width="9.140625" style="3"/>
    <col min="28" max="28" width="10.140625" style="2" bestFit="1" customWidth="1"/>
    <col min="29" max="29" width="9.140625" style="1"/>
    <col min="30" max="30" width="9.28515625" style="1" bestFit="1" customWidth="1"/>
    <col min="31" max="32" width="9.42578125" style="1" bestFit="1" customWidth="1"/>
    <col min="33" max="33" width="10.140625" style="1" bestFit="1" customWidth="1"/>
    <col min="34" max="34" width="10.42578125" style="1" bestFit="1" customWidth="1"/>
    <col min="35" max="35" width="9.42578125" style="1" customWidth="1"/>
    <col min="36" max="36" width="9.42578125" style="1" bestFit="1" customWidth="1"/>
    <col min="37" max="38" width="10.140625" style="1" bestFit="1" customWidth="1"/>
    <col min="39" max="41" width="9.42578125" style="1" bestFit="1" customWidth="1"/>
    <col min="42" max="42" width="10.28515625" style="1" bestFit="1" customWidth="1"/>
    <col min="43" max="43" width="10.140625" style="1" bestFit="1" customWidth="1"/>
    <col min="44" max="16384" width="9.140625" style="1"/>
  </cols>
  <sheetData>
    <row r="1" spans="2:51" x14ac:dyDescent="0.25">
      <c r="AN1" s="4"/>
    </row>
    <row r="2" spans="2:51" ht="15" customHeight="1" x14ac:dyDescent="0.25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Q2" s="5" t="s">
        <v>1</v>
      </c>
      <c r="R2" s="5"/>
      <c r="S2" s="5"/>
      <c r="T2" s="5"/>
      <c r="U2" s="5"/>
      <c r="V2" s="5"/>
      <c r="W2" s="5"/>
      <c r="X2" s="5"/>
      <c r="Y2" s="5"/>
      <c r="Z2" s="6"/>
      <c r="AC2" s="5" t="s">
        <v>2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</row>
    <row r="3" spans="2:51" ht="15" customHeigh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Q3" s="5"/>
      <c r="R3" s="5"/>
      <c r="S3" s="5"/>
      <c r="T3" s="5"/>
      <c r="U3" s="5"/>
      <c r="V3" s="5"/>
      <c r="W3" s="5"/>
      <c r="X3" s="5"/>
      <c r="Y3" s="5"/>
      <c r="Z3" s="6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2:51" ht="15.75" thickBot="1" x14ac:dyDescent="0.3"/>
    <row r="5" spans="2:51" ht="15" customHeight="1" x14ac:dyDescent="0.25">
      <c r="B5" s="7"/>
      <c r="C5" s="7"/>
      <c r="D5" s="7"/>
      <c r="E5" s="7"/>
      <c r="F5" s="8" t="s">
        <v>3</v>
      </c>
      <c r="G5" s="8"/>
      <c r="H5" s="8"/>
      <c r="I5" s="9" t="s">
        <v>4</v>
      </c>
      <c r="J5" s="10"/>
      <c r="K5" s="11" t="s">
        <v>5</v>
      </c>
      <c r="L5" s="12"/>
      <c r="M5" s="13"/>
      <c r="N5" s="14"/>
      <c r="W5" s="15" t="s">
        <v>5</v>
      </c>
      <c r="X5" s="16"/>
      <c r="Y5" s="17"/>
      <c r="Z5" s="18"/>
      <c r="AC5" s="7"/>
      <c r="AD5" s="7"/>
      <c r="AE5" s="7"/>
      <c r="AF5" s="7"/>
      <c r="AG5" s="19" t="s">
        <v>5</v>
      </c>
      <c r="AH5" s="20"/>
      <c r="AI5" s="21"/>
      <c r="AJ5" s="7"/>
      <c r="AK5" s="7"/>
      <c r="AL5" s="7"/>
      <c r="AM5" s="19" t="s">
        <v>5</v>
      </c>
      <c r="AN5" s="20"/>
      <c r="AO5" s="21"/>
      <c r="AP5" s="7"/>
      <c r="AQ5" s="7"/>
      <c r="AR5" s="19" t="s">
        <v>5</v>
      </c>
      <c r="AS5" s="20"/>
      <c r="AT5" s="21"/>
    </row>
    <row r="6" spans="2:51" x14ac:dyDescent="0.25"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/>
      <c r="H6" s="22" t="s">
        <v>11</v>
      </c>
      <c r="I6" s="9"/>
      <c r="J6" s="10"/>
      <c r="K6" s="23" t="s">
        <v>11</v>
      </c>
      <c r="L6" s="24" t="s">
        <v>12</v>
      </c>
      <c r="M6" s="25" t="s">
        <v>13</v>
      </c>
      <c r="N6" s="14"/>
      <c r="Q6" s="7"/>
      <c r="R6" s="7"/>
      <c r="S6" s="7"/>
      <c r="T6" s="7"/>
      <c r="U6" s="26" t="s">
        <v>14</v>
      </c>
      <c r="V6" s="27"/>
      <c r="W6" s="28" t="s">
        <v>11</v>
      </c>
      <c r="X6" s="24" t="s">
        <v>12</v>
      </c>
      <c r="Y6" s="29" t="s">
        <v>13</v>
      </c>
      <c r="Z6" s="30"/>
      <c r="AC6" s="31"/>
      <c r="AD6" s="32" t="s">
        <v>15</v>
      </c>
      <c r="AE6" s="8"/>
      <c r="AF6" s="26"/>
      <c r="AG6" s="28" t="s">
        <v>11</v>
      </c>
      <c r="AH6" s="24" t="s">
        <v>12</v>
      </c>
      <c r="AI6" s="29" t="s">
        <v>13</v>
      </c>
      <c r="AJ6" s="32" t="s">
        <v>16</v>
      </c>
      <c r="AK6" s="8"/>
      <c r="AL6" s="26"/>
      <c r="AM6" s="28" t="s">
        <v>11</v>
      </c>
      <c r="AN6" s="24" t="s">
        <v>12</v>
      </c>
      <c r="AO6" s="29" t="s">
        <v>13</v>
      </c>
      <c r="AP6" s="32" t="s">
        <v>17</v>
      </c>
      <c r="AQ6" s="26"/>
      <c r="AR6" s="28" t="s">
        <v>11</v>
      </c>
      <c r="AS6" s="24" t="s">
        <v>12</v>
      </c>
      <c r="AT6" s="29" t="s">
        <v>13</v>
      </c>
    </row>
    <row r="7" spans="2:51" ht="15.75" thickBot="1" x14ac:dyDescent="0.3">
      <c r="B7" s="9"/>
      <c r="C7" s="9"/>
      <c r="D7" s="9"/>
      <c r="E7" s="9"/>
      <c r="F7" s="22" t="s">
        <v>18</v>
      </c>
      <c r="G7" s="22" t="s">
        <v>19</v>
      </c>
      <c r="H7" s="22" t="s">
        <v>19</v>
      </c>
      <c r="I7" s="22" t="s">
        <v>20</v>
      </c>
      <c r="J7" s="33" t="s">
        <v>21</v>
      </c>
      <c r="K7" s="23"/>
      <c r="L7" s="24"/>
      <c r="M7" s="25"/>
      <c r="N7" s="14"/>
      <c r="Q7" s="34" t="s">
        <v>21</v>
      </c>
      <c r="R7" s="34" t="s">
        <v>22</v>
      </c>
      <c r="S7" s="34" t="s">
        <v>23</v>
      </c>
      <c r="T7" s="34" t="s">
        <v>9</v>
      </c>
      <c r="U7" s="34" t="s">
        <v>8</v>
      </c>
      <c r="V7" s="35" t="s">
        <v>24</v>
      </c>
      <c r="W7" s="28"/>
      <c r="X7" s="24"/>
      <c r="Y7" s="29"/>
      <c r="Z7" s="30"/>
      <c r="AC7" s="36" t="s">
        <v>21</v>
      </c>
      <c r="AD7" s="34" t="s">
        <v>8</v>
      </c>
      <c r="AE7" s="37" t="s">
        <v>9</v>
      </c>
      <c r="AF7" s="35" t="s">
        <v>22</v>
      </c>
      <c r="AG7" s="28"/>
      <c r="AH7" s="38"/>
      <c r="AI7" s="39"/>
      <c r="AJ7" s="40" t="s">
        <v>8</v>
      </c>
      <c r="AK7" s="37" t="s">
        <v>9</v>
      </c>
      <c r="AL7" s="35" t="s">
        <v>22</v>
      </c>
      <c r="AM7" s="28"/>
      <c r="AN7" s="24"/>
      <c r="AO7" s="29"/>
      <c r="AP7" s="41" t="s">
        <v>9</v>
      </c>
      <c r="AQ7" s="35" t="s">
        <v>22</v>
      </c>
      <c r="AR7" s="28"/>
      <c r="AS7" s="24"/>
      <c r="AT7" s="29"/>
    </row>
    <row r="8" spans="2:51" x14ac:dyDescent="0.25">
      <c r="B8" s="9">
        <v>3</v>
      </c>
      <c r="C8" s="9">
        <v>3</v>
      </c>
      <c r="D8" s="9" t="s">
        <v>25</v>
      </c>
      <c r="E8" s="42">
        <v>445</v>
      </c>
      <c r="F8" s="22" t="s">
        <v>26</v>
      </c>
      <c r="G8" s="22">
        <v>8.2799999999999994</v>
      </c>
      <c r="H8" s="22">
        <v>5.62</v>
      </c>
      <c r="I8" s="10">
        <v>18</v>
      </c>
      <c r="J8" s="43">
        <f>I8*365</f>
        <v>6570</v>
      </c>
      <c r="K8" s="44">
        <f>(H8+H9+H10)/3*12*365</f>
        <v>19534.8</v>
      </c>
      <c r="L8" s="45">
        <f>K8/J8</f>
        <v>2.9733333333333332</v>
      </c>
      <c r="M8" s="46">
        <f>K8/E8</f>
        <v>43.898426966292135</v>
      </c>
      <c r="N8" s="47"/>
      <c r="Q8" s="8">
        <v>2008</v>
      </c>
      <c r="R8" s="48">
        <v>566880</v>
      </c>
      <c r="S8" s="48">
        <f>'[1]Globais 07-12 MOD''s'!D61</f>
        <v>3307269.7316184174</v>
      </c>
      <c r="T8" s="49">
        <f>[2]Folha1!$Y$56-E8-E28-E32</f>
        <v>42012.850000000006</v>
      </c>
      <c r="U8" s="34" t="s">
        <v>25</v>
      </c>
      <c r="V8" s="50">
        <f>K8</f>
        <v>19534.8</v>
      </c>
      <c r="W8" s="51">
        <f>S8-(V8+V9+V10)</f>
        <v>3232909.3316184175</v>
      </c>
      <c r="X8" s="45">
        <f>W8/R8</f>
        <v>5.7029871077095988</v>
      </c>
      <c r="Y8" s="46">
        <f>W8/T8</f>
        <v>76.950488520022262</v>
      </c>
      <c r="Z8" s="52"/>
      <c r="AC8" s="26">
        <v>2007</v>
      </c>
      <c r="AD8" s="53" t="s">
        <v>27</v>
      </c>
      <c r="AE8" s="54">
        <f>SUM([2]Folha1!$AJ$21,[2]Folha1!$AU$9,[2]Folha1!$AU$13,[2]Folha1!$BD$4:$BD$14,[2]Folha1!$BD$17:$BD$20,[2]Folha1!$BD$26,[2]Folha1!$BD$29:$BD$30,[2]Folha1!$BD$35)</f>
        <v>11406</v>
      </c>
      <c r="AF8" s="55">
        <v>129987</v>
      </c>
      <c r="AG8" s="56">
        <f>SUM(AF37:AF42,AQ85)</f>
        <v>717650.30041302124</v>
      </c>
      <c r="AH8" s="57"/>
      <c r="AI8" s="58">
        <f>AG8/AE8</f>
        <v>62.918665650799689</v>
      </c>
      <c r="AJ8" s="59"/>
      <c r="AK8" s="60"/>
      <c r="AL8" s="61">
        <v>93442</v>
      </c>
      <c r="AM8" s="62"/>
      <c r="AN8" s="57"/>
      <c r="AO8" s="63"/>
      <c r="AP8" s="64"/>
      <c r="AQ8" s="55">
        <v>9980</v>
      </c>
      <c r="AR8" s="62"/>
      <c r="AS8" s="57"/>
      <c r="AT8" s="63"/>
      <c r="AV8" s="65" t="s">
        <v>12</v>
      </c>
      <c r="AW8" s="35" t="s">
        <v>28</v>
      </c>
      <c r="AX8" s="66">
        <f>AVERAGE(AH16,AH20,AH24,AH28)</f>
        <v>8.2981776604823541</v>
      </c>
    </row>
    <row r="9" spans="2:51" x14ac:dyDescent="0.25">
      <c r="B9" s="9"/>
      <c r="C9" s="9"/>
      <c r="D9" s="9"/>
      <c r="E9" s="42"/>
      <c r="F9" s="22" t="s">
        <v>29</v>
      </c>
      <c r="G9" s="67">
        <v>7.66</v>
      </c>
      <c r="H9" s="67">
        <v>5.2</v>
      </c>
      <c r="I9" s="10"/>
      <c r="J9" s="43"/>
      <c r="K9" s="44"/>
      <c r="L9" s="45"/>
      <c r="M9" s="46"/>
      <c r="N9" s="47"/>
      <c r="Q9" s="8"/>
      <c r="R9" s="48"/>
      <c r="S9" s="48"/>
      <c r="T9" s="68"/>
      <c r="U9" s="34" t="s">
        <v>17</v>
      </c>
      <c r="V9" s="50">
        <f>K31</f>
        <v>8748</v>
      </c>
      <c r="W9" s="28"/>
      <c r="X9" s="45"/>
      <c r="Y9" s="46"/>
      <c r="Z9" s="52"/>
      <c r="AC9" s="26"/>
      <c r="AD9" s="53" t="s">
        <v>30</v>
      </c>
      <c r="AE9" s="54">
        <f>SUM([2]Folha1!$AJ$23,[2]Folha1!$BD$21,[2]Folha1!$BD$25,[2]Folha1!$BD$31,[2]Folha1!$BD$36)</f>
        <v>2800</v>
      </c>
      <c r="AF9" s="55"/>
      <c r="AG9" s="56">
        <f>SUM(AH37,AH40,AQ86)</f>
        <v>366124.01097354904</v>
      </c>
      <c r="AH9" s="57"/>
      <c r="AI9" s="58">
        <f t="shared" ref="AI9:AI31" si="0">AG9/AE9</f>
        <v>130.75857534769608</v>
      </c>
      <c r="AJ9" s="69"/>
      <c r="AK9" s="70"/>
      <c r="AL9" s="61"/>
      <c r="AM9" s="62"/>
      <c r="AN9" s="57"/>
      <c r="AO9" s="63"/>
      <c r="AP9" s="64"/>
      <c r="AQ9" s="55"/>
      <c r="AR9" s="62"/>
      <c r="AS9" s="57"/>
      <c r="AT9" s="63"/>
      <c r="AV9" s="65"/>
      <c r="AW9" s="35" t="s">
        <v>31</v>
      </c>
      <c r="AX9" s="71">
        <f>AVERAGE(AH17,AH21,AH25,AH29)</f>
        <v>15.000258045104447</v>
      </c>
    </row>
    <row r="10" spans="2:51" x14ac:dyDescent="0.25">
      <c r="B10" s="9"/>
      <c r="C10" s="9"/>
      <c r="D10" s="9"/>
      <c r="E10" s="42"/>
      <c r="F10" s="22" t="s">
        <v>32</v>
      </c>
      <c r="G10" s="22">
        <v>3.77</v>
      </c>
      <c r="H10" s="34">
        <v>2.56</v>
      </c>
      <c r="I10" s="10"/>
      <c r="J10" s="43"/>
      <c r="K10" s="44"/>
      <c r="L10" s="45"/>
      <c r="M10" s="46"/>
      <c r="N10" s="47"/>
      <c r="Q10" s="8"/>
      <c r="R10" s="48"/>
      <c r="S10" s="48"/>
      <c r="T10" s="68"/>
      <c r="U10" s="34" t="s">
        <v>33</v>
      </c>
      <c r="V10" s="50">
        <f>K32</f>
        <v>46077.600000000006</v>
      </c>
      <c r="W10" s="28"/>
      <c r="X10" s="45"/>
      <c r="Y10" s="46"/>
      <c r="Z10" s="52"/>
      <c r="AC10" s="26"/>
      <c r="AD10" s="53" t="s">
        <v>34</v>
      </c>
      <c r="AE10" s="54">
        <v>175</v>
      </c>
      <c r="AF10" s="55"/>
      <c r="AG10" s="72"/>
      <c r="AH10" s="57"/>
      <c r="AI10" s="73"/>
      <c r="AJ10" s="69"/>
      <c r="AK10" s="70"/>
      <c r="AL10" s="61"/>
      <c r="AM10" s="62"/>
      <c r="AN10" s="57"/>
      <c r="AO10" s="63"/>
      <c r="AP10" s="64"/>
      <c r="AQ10" s="55"/>
      <c r="AR10" s="62"/>
      <c r="AS10" s="57"/>
      <c r="AT10" s="63"/>
      <c r="AV10" s="65"/>
      <c r="AW10" s="74" t="s">
        <v>34</v>
      </c>
      <c r="AX10" s="71">
        <f>AVERAGE(AH18,AH22,AH26,AH30)</f>
        <v>3.9425454326374063</v>
      </c>
    </row>
    <row r="11" spans="2:51" ht="15.75" thickBot="1" x14ac:dyDescent="0.3">
      <c r="B11" s="9">
        <v>2</v>
      </c>
      <c r="C11" s="9"/>
      <c r="D11" s="9" t="s">
        <v>25</v>
      </c>
      <c r="E11" s="42">
        <v>576</v>
      </c>
      <c r="F11" s="22" t="s">
        <v>26</v>
      </c>
      <c r="G11" s="22">
        <v>4.79</v>
      </c>
      <c r="H11" s="22">
        <v>3.25</v>
      </c>
      <c r="I11" s="10">
        <v>13</v>
      </c>
      <c r="J11" s="43">
        <f>I11*(10.9*12)</f>
        <v>1700.4</v>
      </c>
      <c r="K11" s="44">
        <f>(H11+H12+H13)/3*12*(10.9*12)</f>
        <v>5974.9440000000004</v>
      </c>
      <c r="L11" s="45">
        <f>K11/(J11)</f>
        <v>3.5138461538461541</v>
      </c>
      <c r="M11" s="46">
        <f>K11/E11</f>
        <v>10.373166666666668</v>
      </c>
      <c r="N11" s="52"/>
      <c r="Q11" s="8">
        <v>2009</v>
      </c>
      <c r="R11" s="48">
        <v>633538</v>
      </c>
      <c r="S11" s="48">
        <f>'[1]Globais 07-12 MOD''s'!D99</f>
        <v>3353544.965398958</v>
      </c>
      <c r="T11" s="68"/>
      <c r="U11" s="34" t="s">
        <v>25</v>
      </c>
      <c r="V11" s="50">
        <f>K8</f>
        <v>19534.8</v>
      </c>
      <c r="W11" s="51">
        <f>S11-(V11+V12+V13)</f>
        <v>3279184.565398958</v>
      </c>
      <c r="X11" s="45">
        <f>W11/R11</f>
        <v>5.1759871789836724</v>
      </c>
      <c r="Y11" s="46">
        <f>W11/T8</f>
        <v>78.051942807949416</v>
      </c>
      <c r="Z11" s="52"/>
      <c r="AC11" s="26"/>
      <c r="AD11" s="75" t="s">
        <v>35</v>
      </c>
      <c r="AE11" s="54">
        <f>SUM([2]Folha1!$AJ$4,[2]Folha1!$AJ$17)</f>
        <v>529</v>
      </c>
      <c r="AF11" s="55"/>
      <c r="AG11" s="76"/>
      <c r="AH11" s="57"/>
      <c r="AI11" s="73"/>
      <c r="AJ11" s="77"/>
      <c r="AK11" s="78"/>
      <c r="AL11" s="61"/>
      <c r="AM11" s="62"/>
      <c r="AN11" s="57"/>
      <c r="AO11" s="63"/>
      <c r="AP11" s="64"/>
      <c r="AQ11" s="55"/>
      <c r="AR11" s="62"/>
      <c r="AS11" s="57"/>
      <c r="AT11" s="63"/>
      <c r="AV11" s="65"/>
      <c r="AW11" s="35" t="s">
        <v>35</v>
      </c>
      <c r="AX11" s="79">
        <f>AVERAGE(AH27,AH31)</f>
        <v>1.1690906021009884</v>
      </c>
    </row>
    <row r="12" spans="2:51" ht="15.75" thickBot="1" x14ac:dyDescent="0.3">
      <c r="B12" s="9"/>
      <c r="C12" s="9"/>
      <c r="D12" s="9"/>
      <c r="E12" s="42"/>
      <c r="F12" s="22" t="s">
        <v>29</v>
      </c>
      <c r="G12" s="22">
        <v>2.54</v>
      </c>
      <c r="H12" s="22">
        <v>1.72</v>
      </c>
      <c r="I12" s="10"/>
      <c r="J12" s="43"/>
      <c r="K12" s="44"/>
      <c r="L12" s="45"/>
      <c r="M12" s="46"/>
      <c r="N12" s="52"/>
      <c r="Q12" s="8"/>
      <c r="R12" s="48"/>
      <c r="S12" s="48"/>
      <c r="T12" s="68"/>
      <c r="U12" s="34" t="s">
        <v>17</v>
      </c>
      <c r="V12" s="35">
        <f>K31</f>
        <v>8748</v>
      </c>
      <c r="W12" s="28"/>
      <c r="X12" s="45"/>
      <c r="Y12" s="46"/>
      <c r="Z12" s="52"/>
      <c r="AC12" s="26">
        <v>2008</v>
      </c>
      <c r="AD12" s="53" t="s">
        <v>27</v>
      </c>
      <c r="AE12" s="54">
        <f>AE8</f>
        <v>11406</v>
      </c>
      <c r="AF12" s="55">
        <v>132430</v>
      </c>
      <c r="AG12" s="80">
        <f>SUM(AF43:AF48,AQ87)</f>
        <v>644608.57941376383</v>
      </c>
      <c r="AH12" s="57"/>
      <c r="AI12" s="58">
        <f t="shared" si="0"/>
        <v>56.514867562139564</v>
      </c>
      <c r="AJ12" s="59"/>
      <c r="AK12" s="60"/>
      <c r="AL12" s="61">
        <v>97028</v>
      </c>
      <c r="AM12" s="62"/>
      <c r="AN12" s="57"/>
      <c r="AO12" s="63"/>
      <c r="AP12" s="64"/>
      <c r="AQ12" s="55">
        <v>7495</v>
      </c>
      <c r="AR12" s="62"/>
      <c r="AS12" s="57"/>
      <c r="AT12" s="63"/>
    </row>
    <row r="13" spans="2:51" ht="15.75" thickBot="1" x14ac:dyDescent="0.3">
      <c r="B13" s="9"/>
      <c r="C13" s="9"/>
      <c r="D13" s="9"/>
      <c r="E13" s="42"/>
      <c r="F13" s="22" t="s">
        <v>32</v>
      </c>
      <c r="G13" s="67">
        <v>9.5</v>
      </c>
      <c r="H13" s="22">
        <v>6.45</v>
      </c>
      <c r="I13" s="10"/>
      <c r="J13" s="43"/>
      <c r="K13" s="44"/>
      <c r="L13" s="45"/>
      <c r="M13" s="46"/>
      <c r="N13" s="52"/>
      <c r="Q13" s="8"/>
      <c r="R13" s="48"/>
      <c r="S13" s="48"/>
      <c r="T13" s="68"/>
      <c r="U13" s="34" t="s">
        <v>33</v>
      </c>
      <c r="V13" s="50">
        <f>K32</f>
        <v>46077.600000000006</v>
      </c>
      <c r="W13" s="28"/>
      <c r="X13" s="45"/>
      <c r="Y13" s="46"/>
      <c r="Z13" s="52"/>
      <c r="AC13" s="26"/>
      <c r="AD13" s="53" t="s">
        <v>30</v>
      </c>
      <c r="AE13" s="54">
        <f>AE9</f>
        <v>2800</v>
      </c>
      <c r="AF13" s="55"/>
      <c r="AG13" s="80">
        <f>SUM(AH43,AH46,AQ88)</f>
        <v>316132.34720998921</v>
      </c>
      <c r="AH13" s="57"/>
      <c r="AI13" s="58">
        <f t="shared" si="0"/>
        <v>112.90440971785328</v>
      </c>
      <c r="AJ13" s="69"/>
      <c r="AK13" s="70"/>
      <c r="AL13" s="61"/>
      <c r="AM13" s="62"/>
      <c r="AN13" s="57"/>
      <c r="AO13" s="63"/>
      <c r="AP13" s="64"/>
      <c r="AQ13" s="55"/>
      <c r="AR13" s="62"/>
      <c r="AS13" s="57"/>
      <c r="AT13" s="63"/>
      <c r="AV13" s="81" t="s">
        <v>36</v>
      </c>
      <c r="AW13" s="82"/>
      <c r="AX13" s="82"/>
      <c r="AY13" s="83"/>
    </row>
    <row r="14" spans="2:51" x14ac:dyDescent="0.25">
      <c r="B14" s="9">
        <v>1</v>
      </c>
      <c r="C14" s="9"/>
      <c r="D14" s="84" t="s">
        <v>37</v>
      </c>
      <c r="E14" s="42">
        <v>1655</v>
      </c>
      <c r="F14" s="22" t="s">
        <v>26</v>
      </c>
      <c r="G14" s="67">
        <v>10</v>
      </c>
      <c r="H14" s="22">
        <v>6.78</v>
      </c>
      <c r="I14" s="10">
        <v>60</v>
      </c>
      <c r="J14" s="43">
        <f>I14*365</f>
        <v>21900</v>
      </c>
      <c r="K14" s="44">
        <f>(H14+H15+H16+H17+H18+H19)/3*12*365</f>
        <v>77511.399999999994</v>
      </c>
      <c r="L14" s="85">
        <f>K14/J14</f>
        <v>3.539333333333333</v>
      </c>
      <c r="M14" s="46">
        <f>K14/E14</f>
        <v>46.834682779456188</v>
      </c>
      <c r="N14" s="52"/>
      <c r="Q14" s="8">
        <v>2010</v>
      </c>
      <c r="R14" s="48">
        <v>964540</v>
      </c>
      <c r="S14" s="48">
        <f>'[1]Globais 07-12 MOD''s'!D137</f>
        <v>3607143.1691247453</v>
      </c>
      <c r="T14" s="68"/>
      <c r="U14" s="34" t="s">
        <v>25</v>
      </c>
      <c r="V14" s="50">
        <f>K8</f>
        <v>19534.8</v>
      </c>
      <c r="W14" s="51">
        <f>S14-(V14+V15+V16)</f>
        <v>3532782.7691247454</v>
      </c>
      <c r="X14" s="45">
        <f>W14/R14</f>
        <v>3.6626607181918276</v>
      </c>
      <c r="Y14" s="46">
        <f>W14/T8</f>
        <v>84.088148486111862</v>
      </c>
      <c r="Z14" s="52"/>
      <c r="AC14" s="26"/>
      <c r="AD14" s="53" t="s">
        <v>34</v>
      </c>
      <c r="AE14" s="54">
        <v>175</v>
      </c>
      <c r="AF14" s="55"/>
      <c r="AG14" s="80">
        <f>SUM(AJ43,AG101)</f>
        <v>10466.850999999999</v>
      </c>
      <c r="AH14" s="57"/>
      <c r="AI14" s="58">
        <f t="shared" si="0"/>
        <v>59.810577142857134</v>
      </c>
      <c r="AJ14" s="69"/>
      <c r="AK14" s="70"/>
      <c r="AL14" s="61"/>
      <c r="AM14" s="62"/>
      <c r="AN14" s="57"/>
      <c r="AO14" s="63"/>
      <c r="AP14" s="64"/>
      <c r="AQ14" s="55"/>
      <c r="AR14" s="62"/>
      <c r="AS14" s="57"/>
      <c r="AT14" s="63"/>
      <c r="AV14" s="86" t="s">
        <v>38</v>
      </c>
      <c r="AW14" s="87"/>
      <c r="AX14" s="87"/>
      <c r="AY14" s="88" t="s">
        <v>24</v>
      </c>
    </row>
    <row r="15" spans="2:51" x14ac:dyDescent="0.25">
      <c r="B15" s="9"/>
      <c r="C15" s="9"/>
      <c r="D15" s="84"/>
      <c r="E15" s="42"/>
      <c r="F15" s="22" t="s">
        <v>29</v>
      </c>
      <c r="G15" s="67">
        <v>19</v>
      </c>
      <c r="H15" s="67">
        <v>12.9</v>
      </c>
      <c r="I15" s="10"/>
      <c r="J15" s="43"/>
      <c r="K15" s="44"/>
      <c r="L15" s="89"/>
      <c r="M15" s="46"/>
      <c r="N15" s="52"/>
      <c r="Q15" s="8"/>
      <c r="R15" s="48"/>
      <c r="S15" s="48"/>
      <c r="T15" s="68"/>
      <c r="U15" s="34" t="s">
        <v>17</v>
      </c>
      <c r="V15" s="35">
        <f>K31</f>
        <v>8748</v>
      </c>
      <c r="W15" s="28"/>
      <c r="X15" s="45"/>
      <c r="Y15" s="46"/>
      <c r="Z15" s="52"/>
      <c r="AC15" s="26"/>
      <c r="AD15" s="75" t="s">
        <v>35</v>
      </c>
      <c r="AE15" s="54">
        <f>AE11</f>
        <v>529</v>
      </c>
      <c r="AF15" s="55"/>
      <c r="AG15" s="76"/>
      <c r="AH15" s="57"/>
      <c r="AI15" s="73"/>
      <c r="AJ15" s="77"/>
      <c r="AK15" s="78"/>
      <c r="AL15" s="61"/>
      <c r="AM15" s="62"/>
      <c r="AN15" s="57"/>
      <c r="AO15" s="63"/>
      <c r="AP15" s="64"/>
      <c r="AQ15" s="55"/>
      <c r="AR15" s="62"/>
      <c r="AS15" s="57"/>
      <c r="AT15" s="63"/>
      <c r="AV15" s="90" t="s">
        <v>39</v>
      </c>
      <c r="AW15" s="8"/>
      <c r="AX15" s="8"/>
      <c r="AY15" s="91">
        <f>L40</f>
        <v>4.9235051337951479</v>
      </c>
    </row>
    <row r="16" spans="2:51" x14ac:dyDescent="0.25">
      <c r="B16" s="9"/>
      <c r="C16" s="9"/>
      <c r="D16" s="84"/>
      <c r="E16" s="42"/>
      <c r="F16" s="22" t="s">
        <v>32</v>
      </c>
      <c r="G16" s="67">
        <v>18</v>
      </c>
      <c r="H16" s="22">
        <v>12.22</v>
      </c>
      <c r="I16" s="10"/>
      <c r="J16" s="43"/>
      <c r="K16" s="44"/>
      <c r="L16" s="89"/>
      <c r="M16" s="46"/>
      <c r="N16" s="52"/>
      <c r="Q16" s="8"/>
      <c r="R16" s="48"/>
      <c r="S16" s="48"/>
      <c r="T16" s="68"/>
      <c r="U16" s="34" t="s">
        <v>33</v>
      </c>
      <c r="V16" s="50">
        <f>K32</f>
        <v>46077.600000000006</v>
      </c>
      <c r="W16" s="28"/>
      <c r="X16" s="45"/>
      <c r="Y16" s="46"/>
      <c r="Z16" s="52"/>
      <c r="AC16" s="26">
        <v>2009</v>
      </c>
      <c r="AD16" s="53" t="s">
        <v>27</v>
      </c>
      <c r="AE16" s="54">
        <f>AE8</f>
        <v>11406</v>
      </c>
      <c r="AF16" s="74">
        <v>83828</v>
      </c>
      <c r="AG16" s="56">
        <f>SUM(AF49:AF54,AQ89)</f>
        <v>657014.36844023911</v>
      </c>
      <c r="AH16" s="67">
        <f>AG16/AF16</f>
        <v>7.8376481419124771</v>
      </c>
      <c r="AI16" s="58">
        <f t="shared" si="0"/>
        <v>57.602522219905232</v>
      </c>
      <c r="AJ16" s="59"/>
      <c r="AK16" s="60"/>
      <c r="AL16" s="61">
        <v>85754</v>
      </c>
      <c r="AM16" s="62"/>
      <c r="AN16" s="57"/>
      <c r="AO16" s="63"/>
      <c r="AP16" s="64"/>
      <c r="AQ16" s="55">
        <v>6500</v>
      </c>
      <c r="AR16" s="62"/>
      <c r="AS16" s="57"/>
      <c r="AT16" s="63"/>
      <c r="AV16" s="90" t="s">
        <v>40</v>
      </c>
      <c r="AW16" s="8"/>
      <c r="AX16" s="8"/>
      <c r="AY16" s="91">
        <f>X23</f>
        <v>5.029030634454009</v>
      </c>
    </row>
    <row r="17" spans="1:51" x14ac:dyDescent="0.25">
      <c r="B17" s="9"/>
      <c r="C17" s="9"/>
      <c r="D17" s="84" t="s">
        <v>41</v>
      </c>
      <c r="E17" s="42"/>
      <c r="F17" s="22" t="s">
        <v>26</v>
      </c>
      <c r="G17" s="67">
        <v>10</v>
      </c>
      <c r="H17" s="22">
        <v>6.78</v>
      </c>
      <c r="I17" s="10"/>
      <c r="J17" s="43"/>
      <c r="K17" s="44"/>
      <c r="L17" s="89"/>
      <c r="M17" s="46"/>
      <c r="N17" s="52"/>
      <c r="Q17" s="8">
        <v>2011</v>
      </c>
      <c r="R17" s="48">
        <v>652447</v>
      </c>
      <c r="S17" s="48">
        <f>'[1]Globais 07-12 MOD''s'!D175</f>
        <v>3050167.4153196006</v>
      </c>
      <c r="T17" s="68"/>
      <c r="U17" s="34" t="s">
        <v>25</v>
      </c>
      <c r="V17" s="50">
        <f>K8</f>
        <v>19534.8</v>
      </c>
      <c r="W17" s="51">
        <f>S17-(V17+V18+V19)</f>
        <v>2975807.0153196007</v>
      </c>
      <c r="X17" s="45">
        <f>W17/R17</f>
        <v>4.5609942498311753</v>
      </c>
      <c r="Y17" s="46">
        <f>W17/T8</f>
        <v>70.830877108303781</v>
      </c>
      <c r="Z17" s="52"/>
      <c r="AC17" s="26"/>
      <c r="AD17" s="53" t="s">
        <v>30</v>
      </c>
      <c r="AE17" s="54">
        <f>AE9</f>
        <v>2800</v>
      </c>
      <c r="AF17" s="74">
        <v>16181</v>
      </c>
      <c r="AG17" s="56">
        <f>SUM(AH49,AQ90)</f>
        <v>288658.36335948366</v>
      </c>
      <c r="AH17" s="67">
        <f>AG17/AF17</f>
        <v>17.839340174246566</v>
      </c>
      <c r="AI17" s="58">
        <f t="shared" si="0"/>
        <v>103.09227262838702</v>
      </c>
      <c r="AJ17" s="69"/>
      <c r="AK17" s="70"/>
      <c r="AL17" s="61"/>
      <c r="AM17" s="62"/>
      <c r="AN17" s="57"/>
      <c r="AO17" s="63"/>
      <c r="AP17" s="64"/>
      <c r="AQ17" s="55"/>
      <c r="AR17" s="62"/>
      <c r="AS17" s="57"/>
      <c r="AT17" s="63"/>
      <c r="AV17" s="90" t="s">
        <v>42</v>
      </c>
      <c r="AW17" s="8"/>
      <c r="AX17" s="8"/>
      <c r="AY17" s="91">
        <f>AX9</f>
        <v>15.000258045104447</v>
      </c>
    </row>
    <row r="18" spans="1:51" x14ac:dyDescent="0.25">
      <c r="B18" s="9"/>
      <c r="C18" s="9"/>
      <c r="D18" s="84"/>
      <c r="E18" s="42"/>
      <c r="F18" s="22" t="s">
        <v>29</v>
      </c>
      <c r="G18" s="67">
        <v>15.4</v>
      </c>
      <c r="H18" s="22">
        <v>10.45</v>
      </c>
      <c r="I18" s="10"/>
      <c r="J18" s="43"/>
      <c r="K18" s="44"/>
      <c r="L18" s="89"/>
      <c r="M18" s="46"/>
      <c r="N18" s="52"/>
      <c r="Q18" s="8"/>
      <c r="R18" s="48"/>
      <c r="S18" s="48"/>
      <c r="T18" s="68"/>
      <c r="U18" s="34" t="s">
        <v>17</v>
      </c>
      <c r="V18" s="35">
        <f>K31</f>
        <v>8748</v>
      </c>
      <c r="W18" s="28"/>
      <c r="X18" s="45"/>
      <c r="Y18" s="46"/>
      <c r="Z18" s="52"/>
      <c r="AC18" s="26"/>
      <c r="AD18" s="53" t="s">
        <v>34</v>
      </c>
      <c r="AE18" s="54">
        <v>175</v>
      </c>
      <c r="AF18" s="74">
        <v>1803</v>
      </c>
      <c r="AG18" s="56">
        <f>SUM(AJ49,AG101)</f>
        <v>11958.850999999999</v>
      </c>
      <c r="AH18" s="67">
        <f>AG18/AF18</f>
        <v>6.6327515252357179</v>
      </c>
      <c r="AI18" s="58">
        <f t="shared" si="0"/>
        <v>68.336291428571428</v>
      </c>
      <c r="AJ18" s="69"/>
      <c r="AK18" s="70"/>
      <c r="AL18" s="61"/>
      <c r="AM18" s="62"/>
      <c r="AN18" s="57"/>
      <c r="AO18" s="63"/>
      <c r="AP18" s="64"/>
      <c r="AQ18" s="55"/>
      <c r="AR18" s="62"/>
      <c r="AS18" s="57"/>
      <c r="AT18" s="63"/>
      <c r="AV18" s="90" t="s">
        <v>43</v>
      </c>
      <c r="AW18" s="8"/>
      <c r="AX18" s="8"/>
      <c r="AY18" s="91">
        <f>AX8</f>
        <v>8.2981776604823541</v>
      </c>
    </row>
    <row r="19" spans="1:51" x14ac:dyDescent="0.25">
      <c r="B19" s="9"/>
      <c r="C19" s="9"/>
      <c r="D19" s="84"/>
      <c r="E19" s="42"/>
      <c r="F19" s="22" t="s">
        <v>32</v>
      </c>
      <c r="G19" s="67">
        <v>5.84</v>
      </c>
      <c r="H19" s="22">
        <v>3.96</v>
      </c>
      <c r="I19" s="10"/>
      <c r="J19" s="43"/>
      <c r="K19" s="44"/>
      <c r="L19" s="92"/>
      <c r="M19" s="46"/>
      <c r="N19" s="52"/>
      <c r="Q19" s="8"/>
      <c r="R19" s="48"/>
      <c r="S19" s="48"/>
      <c r="T19" s="68"/>
      <c r="U19" s="34" t="s">
        <v>33</v>
      </c>
      <c r="V19" s="50">
        <f>K32</f>
        <v>46077.600000000006</v>
      </c>
      <c r="W19" s="28"/>
      <c r="X19" s="45"/>
      <c r="Y19" s="46"/>
      <c r="Z19" s="52"/>
      <c r="AC19" s="26"/>
      <c r="AD19" s="75" t="s">
        <v>35</v>
      </c>
      <c r="AE19" s="54">
        <f>AE11</f>
        <v>529</v>
      </c>
      <c r="AF19" s="93"/>
      <c r="AG19" s="72"/>
      <c r="AH19" s="94"/>
      <c r="AI19" s="73"/>
      <c r="AJ19" s="77"/>
      <c r="AK19" s="78"/>
      <c r="AL19" s="61"/>
      <c r="AM19" s="62"/>
      <c r="AN19" s="57"/>
      <c r="AO19" s="63"/>
      <c r="AP19" s="64"/>
      <c r="AQ19" s="55"/>
      <c r="AR19" s="62"/>
      <c r="AS19" s="57"/>
      <c r="AT19" s="63"/>
      <c r="AV19" s="90" t="s">
        <v>44</v>
      </c>
      <c r="AW19" s="8"/>
      <c r="AX19" s="8"/>
      <c r="AY19" s="91">
        <f>AX10</f>
        <v>3.9425454326374063</v>
      </c>
    </row>
    <row r="20" spans="1:51" ht="15" customHeight="1" thickBot="1" x14ac:dyDescent="0.3">
      <c r="B20" s="95">
        <v>1</v>
      </c>
      <c r="C20" s="95">
        <v>2</v>
      </c>
      <c r="D20" s="95" t="s">
        <v>45</v>
      </c>
      <c r="E20" s="96">
        <f>I53</f>
        <v>89.3</v>
      </c>
      <c r="F20" s="22" t="s">
        <v>26</v>
      </c>
      <c r="G20" s="67">
        <v>22</v>
      </c>
      <c r="H20" s="97">
        <v>14.9</v>
      </c>
      <c r="I20" s="98">
        <v>8</v>
      </c>
      <c r="J20" s="43">
        <f>I20*(20*12)</f>
        <v>1920</v>
      </c>
      <c r="K20" s="99">
        <f>(H20+H21+H22)/3*12*(20*12)</f>
        <v>30326.399999999998</v>
      </c>
      <c r="L20" s="100">
        <f>K20/J20</f>
        <v>15.794999999999998</v>
      </c>
      <c r="M20" s="101">
        <f>K20/E20</f>
        <v>339.60134378499441</v>
      </c>
      <c r="N20" s="52"/>
      <c r="Q20" s="8">
        <v>2012</v>
      </c>
      <c r="R20" s="48">
        <v>580814</v>
      </c>
      <c r="S20" s="48">
        <f>'[1]Globais 07-12 MOD''s'!D213</f>
        <v>3583942.8866500771</v>
      </c>
      <c r="T20" s="68"/>
      <c r="U20" s="34" t="s">
        <v>25</v>
      </c>
      <c r="V20" s="50">
        <f>K8</f>
        <v>19534.8</v>
      </c>
      <c r="W20" s="51">
        <f>S20-(V20+V21+V22)</f>
        <v>3509582.4866500772</v>
      </c>
      <c r="X20" s="45">
        <f>W20/R20</f>
        <v>6.0425239175537735</v>
      </c>
      <c r="Y20" s="46">
        <f>W20/T8</f>
        <v>83.535929760777393</v>
      </c>
      <c r="Z20" s="52"/>
      <c r="AC20" s="26">
        <v>2010</v>
      </c>
      <c r="AD20" s="53" t="s">
        <v>27</v>
      </c>
      <c r="AE20" s="54">
        <f>AE8</f>
        <v>11406</v>
      </c>
      <c r="AF20" s="74">
        <v>72125</v>
      </c>
      <c r="AG20" s="56">
        <f>SUM(AF55:AF60,AQ91)</f>
        <v>642637.61081689992</v>
      </c>
      <c r="AH20" s="67">
        <f>AG20/AF20</f>
        <v>8.9100535295237417</v>
      </c>
      <c r="AI20" s="58">
        <f t="shared" si="0"/>
        <v>56.342066527871289</v>
      </c>
      <c r="AJ20" s="59"/>
      <c r="AK20" s="60"/>
      <c r="AL20" s="61">
        <v>97616</v>
      </c>
      <c r="AM20" s="62"/>
      <c r="AN20" s="57"/>
      <c r="AO20" s="63"/>
      <c r="AP20" s="64"/>
      <c r="AQ20" s="55">
        <v>17074</v>
      </c>
      <c r="AR20" s="62"/>
      <c r="AS20" s="57"/>
      <c r="AT20" s="63"/>
      <c r="AV20" s="102" t="s">
        <v>46</v>
      </c>
      <c r="AW20" s="103"/>
      <c r="AX20" s="103"/>
      <c r="AY20" s="104">
        <f>AX11</f>
        <v>1.1690906021009884</v>
      </c>
    </row>
    <row r="21" spans="1:51" x14ac:dyDescent="0.25">
      <c r="B21" s="105"/>
      <c r="C21" s="105"/>
      <c r="D21" s="105"/>
      <c r="E21" s="106"/>
      <c r="F21" s="22" t="s">
        <v>29</v>
      </c>
      <c r="G21" s="67">
        <v>8.6999999999999993</v>
      </c>
      <c r="H21" s="97">
        <v>5.83</v>
      </c>
      <c r="I21" s="107"/>
      <c r="J21" s="43"/>
      <c r="K21" s="108"/>
      <c r="L21" s="109"/>
      <c r="M21" s="110"/>
      <c r="N21" s="52"/>
      <c r="Q21" s="8"/>
      <c r="R21" s="48"/>
      <c r="S21" s="48"/>
      <c r="T21" s="68"/>
      <c r="U21" s="34" t="s">
        <v>17</v>
      </c>
      <c r="V21" s="35">
        <f>K31</f>
        <v>8748</v>
      </c>
      <c r="W21" s="28"/>
      <c r="X21" s="45"/>
      <c r="Y21" s="46"/>
      <c r="Z21" s="52"/>
      <c r="AC21" s="26"/>
      <c r="AD21" s="53" t="s">
        <v>30</v>
      </c>
      <c r="AE21" s="54">
        <f>AE9</f>
        <v>2800</v>
      </c>
      <c r="AF21" s="74">
        <v>19800</v>
      </c>
      <c r="AG21" s="56">
        <f>SUM(AH55,AQ92)</f>
        <v>296278.9090777961</v>
      </c>
      <c r="AH21" s="67">
        <f>AG21/AF21</f>
        <v>14.963581266555359</v>
      </c>
      <c r="AI21" s="58">
        <f t="shared" si="0"/>
        <v>105.8138960992129</v>
      </c>
      <c r="AJ21" s="69"/>
      <c r="AK21" s="70"/>
      <c r="AL21" s="61"/>
      <c r="AM21" s="62"/>
      <c r="AN21" s="57"/>
      <c r="AO21" s="63"/>
      <c r="AP21" s="64"/>
      <c r="AQ21" s="55"/>
      <c r="AR21" s="62"/>
      <c r="AS21" s="57"/>
      <c r="AT21" s="63"/>
    </row>
    <row r="22" spans="1:51" ht="15.75" thickBot="1" x14ac:dyDescent="0.3">
      <c r="B22" s="105"/>
      <c r="C22" s="105"/>
      <c r="D22" s="105"/>
      <c r="E22" s="106"/>
      <c r="F22" s="22" t="s">
        <v>32</v>
      </c>
      <c r="G22" s="67">
        <v>16</v>
      </c>
      <c r="H22" s="97">
        <v>10.86</v>
      </c>
      <c r="I22" s="107"/>
      <c r="J22" s="43"/>
      <c r="K22" s="111"/>
      <c r="L22" s="112"/>
      <c r="M22" s="113"/>
      <c r="N22" s="52"/>
      <c r="Q22" s="8"/>
      <c r="R22" s="48"/>
      <c r="S22" s="48"/>
      <c r="T22" s="114"/>
      <c r="U22" s="34" t="s">
        <v>33</v>
      </c>
      <c r="V22" s="50">
        <f>K32</f>
        <v>46077.600000000006</v>
      </c>
      <c r="W22" s="115"/>
      <c r="X22" s="116"/>
      <c r="Y22" s="117"/>
      <c r="Z22" s="52"/>
      <c r="AC22" s="26"/>
      <c r="AD22" s="53" t="s">
        <v>34</v>
      </c>
      <c r="AE22" s="54">
        <v>175</v>
      </c>
      <c r="AF22" s="74">
        <v>4064</v>
      </c>
      <c r="AG22" s="56">
        <f>SUM(AJ55,AG103)</f>
        <v>10636.495999999999</v>
      </c>
      <c r="AH22" s="67">
        <f>AG22/AG22</f>
        <v>1</v>
      </c>
      <c r="AI22" s="58">
        <f t="shared" si="0"/>
        <v>60.779977142857135</v>
      </c>
      <c r="AJ22" s="69"/>
      <c r="AK22" s="70"/>
      <c r="AL22" s="61"/>
      <c r="AM22" s="62"/>
      <c r="AN22" s="57"/>
      <c r="AO22" s="63"/>
      <c r="AP22" s="64"/>
      <c r="AQ22" s="55"/>
      <c r="AR22" s="62"/>
      <c r="AS22" s="57"/>
      <c r="AT22" s="63"/>
    </row>
    <row r="23" spans="1:51" x14ac:dyDescent="0.25">
      <c r="B23" s="105"/>
      <c r="C23" s="105"/>
      <c r="D23" s="118"/>
      <c r="E23" s="119"/>
      <c r="F23" s="120"/>
      <c r="G23" s="94"/>
      <c r="H23" s="94"/>
      <c r="I23" s="121"/>
      <c r="J23" s="43"/>
      <c r="K23" s="122">
        <f>J49*12</f>
        <v>22944</v>
      </c>
      <c r="L23" s="123">
        <f>K23/J20</f>
        <v>11.95</v>
      </c>
      <c r="M23" s="124">
        <f>K23/E20</f>
        <v>256.93169092945129</v>
      </c>
      <c r="N23" s="52"/>
      <c r="X23" s="125">
        <f>AVERAGE(X8:X22)</f>
        <v>5.029030634454009</v>
      </c>
      <c r="AC23" s="26"/>
      <c r="AD23" s="75" t="s">
        <v>35</v>
      </c>
      <c r="AE23" s="54">
        <f>AE11</f>
        <v>529</v>
      </c>
      <c r="AF23" s="93"/>
      <c r="AG23" s="72"/>
      <c r="AH23" s="94"/>
      <c r="AI23" s="73"/>
      <c r="AJ23" s="77"/>
      <c r="AK23" s="78"/>
      <c r="AL23" s="61"/>
      <c r="AM23" s="62"/>
      <c r="AN23" s="57"/>
      <c r="AO23" s="63"/>
      <c r="AP23" s="64"/>
      <c r="AQ23" s="55"/>
      <c r="AR23" s="62"/>
      <c r="AS23" s="57"/>
      <c r="AT23" s="63"/>
    </row>
    <row r="24" spans="1:51" ht="15.75" thickBot="1" x14ac:dyDescent="0.3">
      <c r="B24" s="105"/>
      <c r="C24" s="105"/>
      <c r="D24" s="95" t="s">
        <v>47</v>
      </c>
      <c r="E24" s="96">
        <f>I56</f>
        <v>332.69999999999993</v>
      </c>
      <c r="F24" s="22" t="s">
        <v>26</v>
      </c>
      <c r="G24" s="67">
        <v>24.5</v>
      </c>
      <c r="H24" s="34">
        <v>16.63</v>
      </c>
      <c r="I24" s="98">
        <v>21</v>
      </c>
      <c r="J24" s="43">
        <f>I24*(20*12)</f>
        <v>5040</v>
      </c>
      <c r="K24" s="99">
        <f>(H24+H25+H26)/3*12*(20*12)</f>
        <v>33945.599999999999</v>
      </c>
      <c r="L24" s="100">
        <f>K24/J24</f>
        <v>6.7352380952380946</v>
      </c>
      <c r="M24" s="101">
        <f>K24/E24</f>
        <v>102.0306582506763</v>
      </c>
      <c r="N24" s="52"/>
      <c r="X24" s="126"/>
      <c r="AC24" s="26">
        <v>2011</v>
      </c>
      <c r="AD24" s="53" t="s">
        <v>27</v>
      </c>
      <c r="AE24" s="54">
        <f>AE8</f>
        <v>11406</v>
      </c>
      <c r="AF24" s="74">
        <v>63900</v>
      </c>
      <c r="AG24" s="56">
        <f>SUM(AF61:AF66,AQ93)</f>
        <v>624931.62498686265</v>
      </c>
      <c r="AH24" s="67">
        <f t="shared" ref="AH24:AH31" si="1">AG24/AF24</f>
        <v>9.7798376367271143</v>
      </c>
      <c r="AI24" s="58">
        <f t="shared" si="0"/>
        <v>54.789726896971999</v>
      </c>
      <c r="AJ24" s="59"/>
      <c r="AK24" s="60"/>
      <c r="AL24" s="61">
        <v>86675</v>
      </c>
      <c r="AM24" s="62"/>
      <c r="AN24" s="57"/>
      <c r="AO24" s="63"/>
      <c r="AP24" s="64"/>
      <c r="AQ24" s="55">
        <v>15142</v>
      </c>
      <c r="AR24" s="62"/>
      <c r="AS24" s="57"/>
      <c r="AT24" s="63"/>
    </row>
    <row r="25" spans="1:51" x14ac:dyDescent="0.25">
      <c r="A25" s="127"/>
      <c r="B25" s="105"/>
      <c r="C25" s="105"/>
      <c r="D25" s="105"/>
      <c r="E25" s="106"/>
      <c r="F25" s="22" t="s">
        <v>29</v>
      </c>
      <c r="G25" s="67">
        <v>17</v>
      </c>
      <c r="H25" s="34">
        <v>11.54</v>
      </c>
      <c r="I25" s="107"/>
      <c r="J25" s="43"/>
      <c r="K25" s="108"/>
      <c r="L25" s="109"/>
      <c r="M25" s="110"/>
      <c r="N25" s="52"/>
      <c r="AC25" s="26"/>
      <c r="AD25" s="53" t="s">
        <v>30</v>
      </c>
      <c r="AE25" s="54">
        <f>AE9</f>
        <v>2800</v>
      </c>
      <c r="AF25" s="74">
        <v>19414</v>
      </c>
      <c r="AG25" s="56">
        <f>SUM(AH61,AQ94)</f>
        <v>255344.70627580601</v>
      </c>
      <c r="AH25" s="67">
        <f t="shared" si="1"/>
        <v>13.152606689801484</v>
      </c>
      <c r="AI25" s="58">
        <f t="shared" si="0"/>
        <v>91.194537955645004</v>
      </c>
      <c r="AJ25" s="69"/>
      <c r="AK25" s="70"/>
      <c r="AL25" s="61"/>
      <c r="AM25" s="62"/>
      <c r="AN25" s="57"/>
      <c r="AO25" s="63"/>
      <c r="AP25" s="64"/>
      <c r="AQ25" s="55"/>
      <c r="AR25" s="62"/>
      <c r="AS25" s="57"/>
      <c r="AT25" s="63"/>
    </row>
    <row r="26" spans="1:51" x14ac:dyDescent="0.25">
      <c r="B26" s="105"/>
      <c r="C26" s="105"/>
      <c r="D26" s="105"/>
      <c r="E26" s="106"/>
      <c r="F26" s="128" t="s">
        <v>32</v>
      </c>
      <c r="G26" s="129">
        <v>10.6</v>
      </c>
      <c r="H26" s="37">
        <v>7.19</v>
      </c>
      <c r="I26" s="107"/>
      <c r="J26" s="43"/>
      <c r="K26" s="108"/>
      <c r="L26" s="109"/>
      <c r="M26" s="110"/>
      <c r="N26" s="52"/>
      <c r="AC26" s="26"/>
      <c r="AD26" s="53" t="s">
        <v>34</v>
      </c>
      <c r="AE26" s="54">
        <v>175</v>
      </c>
      <c r="AF26" s="74">
        <v>3362</v>
      </c>
      <c r="AG26" s="56">
        <f>SUM(AJ61,AG105)</f>
        <v>9611.6660000000011</v>
      </c>
      <c r="AH26" s="67">
        <f t="shared" si="1"/>
        <v>2.8589131469363478</v>
      </c>
      <c r="AI26" s="58">
        <f t="shared" si="0"/>
        <v>54.92380571428572</v>
      </c>
      <c r="AJ26" s="69"/>
      <c r="AK26" s="70"/>
      <c r="AL26" s="61"/>
      <c r="AM26" s="62"/>
      <c r="AN26" s="57"/>
      <c r="AO26" s="63"/>
      <c r="AP26" s="64"/>
      <c r="AQ26" s="55"/>
      <c r="AR26" s="62"/>
      <c r="AS26" s="57"/>
      <c r="AT26" s="63"/>
    </row>
    <row r="27" spans="1:51" x14ac:dyDescent="0.25">
      <c r="B27" s="118"/>
      <c r="C27" s="105"/>
      <c r="D27" s="105"/>
      <c r="E27" s="106"/>
      <c r="F27" s="60"/>
      <c r="G27" s="130"/>
      <c r="H27" s="60"/>
      <c r="I27" s="107"/>
      <c r="J27" s="43"/>
      <c r="K27" s="131">
        <f>J46*12</f>
        <v>30916</v>
      </c>
      <c r="L27" s="132">
        <f>K27/J24</f>
        <v>6.1341269841269845</v>
      </c>
      <c r="M27" s="133">
        <f>K27/E24</f>
        <v>92.924556657649546</v>
      </c>
      <c r="N27" s="52"/>
      <c r="AC27" s="26"/>
      <c r="AD27" s="75" t="s">
        <v>35</v>
      </c>
      <c r="AE27" s="54">
        <f>AE11</f>
        <v>529</v>
      </c>
      <c r="AF27" s="74">
        <v>1390</v>
      </c>
      <c r="AG27" s="56">
        <f>AD117</f>
        <v>1832.9634624606419</v>
      </c>
      <c r="AH27" s="67">
        <f t="shared" si="1"/>
        <v>1.3186787499716848</v>
      </c>
      <c r="AI27" s="58">
        <f t="shared" si="0"/>
        <v>3.4649592863150129</v>
      </c>
      <c r="AJ27" s="77"/>
      <c r="AK27" s="78"/>
      <c r="AL27" s="61"/>
      <c r="AM27" s="62"/>
      <c r="AN27" s="57"/>
      <c r="AO27" s="63"/>
      <c r="AP27" s="64"/>
      <c r="AQ27" s="55"/>
      <c r="AR27" s="62"/>
      <c r="AS27" s="57"/>
      <c r="AT27" s="63"/>
    </row>
    <row r="28" spans="1:51" x14ac:dyDescent="0.25">
      <c r="B28" s="8">
        <v>3</v>
      </c>
      <c r="C28" s="8">
        <v>1</v>
      </c>
      <c r="D28" s="8" t="s">
        <v>17</v>
      </c>
      <c r="E28" s="134">
        <v>418</v>
      </c>
      <c r="F28" s="22" t="s">
        <v>26</v>
      </c>
      <c r="G28" s="67">
        <f>(0.2+3.5+2.4)</f>
        <v>6.1</v>
      </c>
      <c r="H28" s="34">
        <v>4.1399999999999997</v>
      </c>
      <c r="I28" s="8">
        <v>5</v>
      </c>
      <c r="J28" s="55">
        <f>I28*365</f>
        <v>1825</v>
      </c>
      <c r="K28" s="135">
        <f>(H28+H29+H30)/3*12*365</f>
        <v>16673.2</v>
      </c>
      <c r="L28" s="57">
        <f>K28/J28</f>
        <v>9.136000000000001</v>
      </c>
      <c r="M28" s="63">
        <f>K28/E28</f>
        <v>39.88803827751196</v>
      </c>
      <c r="N28" s="52"/>
      <c r="AC28" s="26">
        <v>2012</v>
      </c>
      <c r="AD28" s="53" t="s">
        <v>27</v>
      </c>
      <c r="AE28" s="54">
        <f>AE8</f>
        <v>11406</v>
      </c>
      <c r="AF28" s="74">
        <v>81105</v>
      </c>
      <c r="AG28" s="56">
        <f>SUM(AF67:AF72,AQ95)</f>
        <v>540578.72102509812</v>
      </c>
      <c r="AH28" s="67">
        <f t="shared" si="1"/>
        <v>6.6651713337660823</v>
      </c>
      <c r="AI28" s="58">
        <f t="shared" si="0"/>
        <v>47.394241717087333</v>
      </c>
      <c r="AJ28" s="59"/>
      <c r="AK28" s="60"/>
      <c r="AL28" s="61">
        <v>95281</v>
      </c>
      <c r="AM28" s="62"/>
      <c r="AN28" s="57"/>
      <c r="AO28" s="63"/>
      <c r="AP28" s="64"/>
      <c r="AQ28" s="136">
        <v>11894</v>
      </c>
      <c r="AR28" s="62"/>
      <c r="AS28" s="57"/>
      <c r="AT28" s="63"/>
    </row>
    <row r="29" spans="1:51" x14ac:dyDescent="0.25">
      <c r="B29" s="8"/>
      <c r="C29" s="8"/>
      <c r="D29" s="8"/>
      <c r="E29" s="134"/>
      <c r="F29" s="22" t="s">
        <v>29</v>
      </c>
      <c r="G29" s="67">
        <f>(0.03+0.06+7.84)</f>
        <v>7.93</v>
      </c>
      <c r="H29" s="34">
        <v>5.38</v>
      </c>
      <c r="I29" s="8"/>
      <c r="J29" s="55"/>
      <c r="K29" s="135"/>
      <c r="L29" s="57"/>
      <c r="M29" s="63"/>
      <c r="N29" s="52"/>
      <c r="AC29" s="26"/>
      <c r="AD29" s="53" t="s">
        <v>30</v>
      </c>
      <c r="AE29" s="54">
        <f>AE9</f>
        <v>2800</v>
      </c>
      <c r="AF29" s="74">
        <v>17707</v>
      </c>
      <c r="AG29" s="56">
        <f>SUM(AH67,AQ96)</f>
        <v>248703.74021006314</v>
      </c>
      <c r="AH29" s="67">
        <f t="shared" si="1"/>
        <v>14.045504049814376</v>
      </c>
      <c r="AI29" s="58">
        <f t="shared" si="0"/>
        <v>88.822764360736841</v>
      </c>
      <c r="AJ29" s="69"/>
      <c r="AK29" s="70"/>
      <c r="AL29" s="61"/>
      <c r="AM29" s="62"/>
      <c r="AN29" s="57"/>
      <c r="AO29" s="63"/>
      <c r="AP29" s="64"/>
      <c r="AQ29" s="137"/>
      <c r="AR29" s="62"/>
      <c r="AS29" s="57"/>
      <c r="AT29" s="63"/>
    </row>
    <row r="30" spans="1:51" x14ac:dyDescent="0.25">
      <c r="A30" s="138"/>
      <c r="B30" s="8"/>
      <c r="C30" s="8"/>
      <c r="D30" s="8"/>
      <c r="E30" s="134"/>
      <c r="F30" s="22" t="s">
        <v>32</v>
      </c>
      <c r="G30" s="67">
        <f>(0.05+0.06+2.69)</f>
        <v>2.8</v>
      </c>
      <c r="H30" s="22">
        <v>1.9</v>
      </c>
      <c r="I30" s="8"/>
      <c r="J30" s="55"/>
      <c r="K30" s="135"/>
      <c r="L30" s="57"/>
      <c r="M30" s="63"/>
      <c r="N30" s="52"/>
      <c r="AC30" s="26"/>
      <c r="AD30" s="53" t="s">
        <v>34</v>
      </c>
      <c r="AE30" s="54">
        <v>175</v>
      </c>
      <c r="AF30" s="74">
        <v>1319</v>
      </c>
      <c r="AG30" s="56">
        <f>SUM(AJ67,AG107)</f>
        <v>6962.3640000000014</v>
      </c>
      <c r="AH30" s="67">
        <f t="shared" si="1"/>
        <v>5.2785170583775596</v>
      </c>
      <c r="AI30" s="58">
        <f t="shared" si="0"/>
        <v>39.784937142857153</v>
      </c>
      <c r="AJ30" s="69"/>
      <c r="AK30" s="70"/>
      <c r="AL30" s="61"/>
      <c r="AM30" s="62"/>
      <c r="AN30" s="57"/>
      <c r="AO30" s="63"/>
      <c r="AP30" s="64"/>
      <c r="AQ30" s="137"/>
      <c r="AR30" s="62"/>
      <c r="AS30" s="57"/>
      <c r="AT30" s="63"/>
    </row>
    <row r="31" spans="1:51" ht="15.75" thickBot="1" x14ac:dyDescent="0.3">
      <c r="A31" s="138"/>
      <c r="B31" s="8"/>
      <c r="C31" s="8"/>
      <c r="D31" s="8"/>
      <c r="E31" s="134"/>
      <c r="F31" s="120"/>
      <c r="G31" s="94"/>
      <c r="H31" s="120"/>
      <c r="I31" s="8"/>
      <c r="J31" s="55"/>
      <c r="K31" s="139">
        <f>729*12</f>
        <v>8748</v>
      </c>
      <c r="L31" s="140">
        <f>K31/J28</f>
        <v>4.7934246575342465</v>
      </c>
      <c r="M31" s="141">
        <f>K31/E28</f>
        <v>20.928229665071772</v>
      </c>
      <c r="N31" s="52"/>
      <c r="AC31" s="26"/>
      <c r="AD31" s="75" t="s">
        <v>35</v>
      </c>
      <c r="AE31" s="54">
        <f>AE11</f>
        <v>529</v>
      </c>
      <c r="AF31" s="74">
        <v>1383</v>
      </c>
      <c r="AG31" s="142">
        <f>AE117</f>
        <v>1409.9718942004938</v>
      </c>
      <c r="AH31" s="143">
        <f t="shared" si="1"/>
        <v>1.019502454230292</v>
      </c>
      <c r="AI31" s="144">
        <f t="shared" si="0"/>
        <v>2.6653532971653946</v>
      </c>
      <c r="AJ31" s="77"/>
      <c r="AK31" s="78"/>
      <c r="AL31" s="61"/>
      <c r="AM31" s="145"/>
      <c r="AN31" s="146"/>
      <c r="AO31" s="147"/>
      <c r="AP31" s="64"/>
      <c r="AQ31" s="148"/>
      <c r="AR31" s="145"/>
      <c r="AS31" s="146"/>
      <c r="AT31" s="147"/>
    </row>
    <row r="32" spans="1:51" x14ac:dyDescent="0.25">
      <c r="A32" s="149"/>
      <c r="B32" s="118">
        <v>3</v>
      </c>
      <c r="C32" s="95">
        <v>0</v>
      </c>
      <c r="D32" s="36" t="s">
        <v>48</v>
      </c>
      <c r="E32" s="119">
        <f>I66</f>
        <v>516.04999999999995</v>
      </c>
      <c r="F32" s="150" t="s">
        <v>26</v>
      </c>
      <c r="G32" s="151">
        <v>8.1999999999999993</v>
      </c>
      <c r="H32" s="36">
        <v>5.56</v>
      </c>
      <c r="I32" s="121">
        <v>27</v>
      </c>
      <c r="J32" s="152">
        <f>I32*365</f>
        <v>9855</v>
      </c>
      <c r="K32" s="153">
        <f>(H32+H33+H34)/3*12*365</f>
        <v>46077.600000000006</v>
      </c>
      <c r="L32" s="92">
        <f>K32/J32</f>
        <v>4.6755555555555564</v>
      </c>
      <c r="M32" s="154">
        <f>K32/E32</f>
        <v>89.289022381552201</v>
      </c>
      <c r="N32" s="52"/>
      <c r="AC32" s="127"/>
      <c r="AD32" s="127"/>
      <c r="AE32" s="155"/>
      <c r="AF32" s="155"/>
      <c r="AG32" s="127"/>
      <c r="AH32" s="127"/>
      <c r="AI32" s="156"/>
      <c r="AJ32" s="156"/>
      <c r="AK32" s="157"/>
      <c r="AL32" s="52"/>
      <c r="AM32" s="157"/>
      <c r="AN32" s="138"/>
      <c r="AO32" s="138"/>
    </row>
    <row r="33" spans="1:50" x14ac:dyDescent="0.25">
      <c r="A33" s="149"/>
      <c r="B33" s="8"/>
      <c r="C33" s="105"/>
      <c r="D33" s="34" t="s">
        <v>49</v>
      </c>
      <c r="E33" s="42"/>
      <c r="F33" s="22" t="s">
        <v>29</v>
      </c>
      <c r="G33" s="67">
        <v>19</v>
      </c>
      <c r="H33" s="34">
        <v>12.9</v>
      </c>
      <c r="I33" s="10"/>
      <c r="J33" s="43"/>
      <c r="K33" s="44"/>
      <c r="L33" s="45"/>
      <c r="M33" s="46"/>
      <c r="N33" s="52"/>
      <c r="AC33" s="158" t="s">
        <v>50</v>
      </c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</row>
    <row r="34" spans="1:50" x14ac:dyDescent="0.25">
      <c r="A34" s="149"/>
      <c r="B34" s="8"/>
      <c r="C34" s="105"/>
      <c r="D34" s="34" t="s">
        <v>51</v>
      </c>
      <c r="E34" s="42"/>
      <c r="F34" s="22" t="s">
        <v>32</v>
      </c>
      <c r="G34" s="67">
        <v>19.3</v>
      </c>
      <c r="H34" s="34">
        <v>13.1</v>
      </c>
      <c r="I34" s="10"/>
      <c r="J34" s="43"/>
      <c r="K34" s="44"/>
      <c r="L34" s="45"/>
      <c r="M34" s="46"/>
      <c r="N34" s="52"/>
      <c r="AB34" s="138"/>
      <c r="AC34" s="127"/>
      <c r="AN34" s="138"/>
      <c r="AO34" s="138"/>
    </row>
    <row r="35" spans="1:50" x14ac:dyDescent="0.25">
      <c r="A35" s="149"/>
      <c r="B35" s="8"/>
      <c r="C35" s="105"/>
      <c r="D35" s="34" t="s">
        <v>52</v>
      </c>
      <c r="E35" s="42"/>
      <c r="F35" s="159"/>
      <c r="G35" s="159"/>
      <c r="H35" s="159"/>
      <c r="I35" s="10"/>
      <c r="J35" s="43"/>
      <c r="K35" s="44"/>
      <c r="L35" s="45"/>
      <c r="M35" s="46"/>
      <c r="N35" s="52"/>
      <c r="AB35" s="160"/>
      <c r="AC35" s="7"/>
      <c r="AD35" s="7"/>
      <c r="AE35" s="161" t="s">
        <v>53</v>
      </c>
      <c r="AF35" s="161"/>
      <c r="AG35" s="161"/>
      <c r="AH35" s="161"/>
      <c r="AI35" s="161"/>
      <c r="AJ35" s="161"/>
      <c r="AK35" s="161"/>
      <c r="AL35" s="161"/>
      <c r="AM35" s="7"/>
      <c r="AN35" s="162" t="s">
        <v>22</v>
      </c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</row>
    <row r="36" spans="1:50" x14ac:dyDescent="0.25">
      <c r="A36" s="149"/>
      <c r="B36" s="8"/>
      <c r="C36" s="118"/>
      <c r="D36" s="34" t="s">
        <v>54</v>
      </c>
      <c r="E36" s="42"/>
      <c r="F36" s="159"/>
      <c r="G36" s="159"/>
      <c r="H36" s="159"/>
      <c r="I36" s="10"/>
      <c r="J36" s="43"/>
      <c r="K36" s="44"/>
      <c r="L36" s="45"/>
      <c r="M36" s="46"/>
      <c r="N36" s="52"/>
      <c r="AB36" s="138"/>
      <c r="AC36" s="7"/>
      <c r="AD36" s="155"/>
      <c r="AE36" s="163" t="s">
        <v>55</v>
      </c>
      <c r="AF36" s="163"/>
      <c r="AG36" s="163" t="s">
        <v>56</v>
      </c>
      <c r="AH36" s="163"/>
      <c r="AI36" s="164" t="s">
        <v>57</v>
      </c>
      <c r="AJ36" s="164"/>
      <c r="AK36" s="165" t="s">
        <v>58</v>
      </c>
      <c r="AL36" s="165"/>
    </row>
    <row r="37" spans="1:50" x14ac:dyDescent="0.25">
      <c r="A37" s="138"/>
      <c r="B37" s="8">
        <v>2</v>
      </c>
      <c r="C37" s="8">
        <v>-2</v>
      </c>
      <c r="D37" s="8" t="s">
        <v>59</v>
      </c>
      <c r="E37" s="159"/>
      <c r="F37" s="22" t="s">
        <v>26</v>
      </c>
      <c r="G37" s="67">
        <v>4.5999999999999996</v>
      </c>
      <c r="H37" s="34">
        <v>3.12</v>
      </c>
      <c r="I37" s="26">
        <v>19</v>
      </c>
      <c r="J37" s="55">
        <f>I37*365</f>
        <v>6935</v>
      </c>
      <c r="K37" s="44">
        <f>(H37+H38+H39)/3*12*365</f>
        <v>12541.4</v>
      </c>
      <c r="L37" s="45">
        <f>K37/J37</f>
        <v>1.8084210526315789</v>
      </c>
      <c r="M37" s="63"/>
      <c r="N37" s="52"/>
      <c r="AB37" s="160"/>
      <c r="AC37" s="166" t="s">
        <v>60</v>
      </c>
      <c r="AD37" s="8">
        <v>2007</v>
      </c>
      <c r="AE37" s="53">
        <v>201</v>
      </c>
      <c r="AF37" s="167">
        <v>54784</v>
      </c>
      <c r="AG37" s="48">
        <v>203</v>
      </c>
      <c r="AH37" s="42">
        <f>AQ76</f>
        <v>110998.68517352726</v>
      </c>
      <c r="AI37" s="168">
        <v>204</v>
      </c>
      <c r="AJ37" s="42">
        <v>3138</v>
      </c>
      <c r="AK37" s="169">
        <v>213</v>
      </c>
      <c r="AL37" s="42">
        <v>4749</v>
      </c>
      <c r="AM37" s="52"/>
    </row>
    <row r="38" spans="1:50" x14ac:dyDescent="0.25">
      <c r="A38" s="138"/>
      <c r="B38" s="8"/>
      <c r="C38" s="8"/>
      <c r="D38" s="8"/>
      <c r="E38" s="159"/>
      <c r="F38" s="22" t="s">
        <v>29</v>
      </c>
      <c r="G38" s="67">
        <v>4.92</v>
      </c>
      <c r="H38" s="34">
        <v>3.34</v>
      </c>
      <c r="I38" s="26"/>
      <c r="J38" s="55"/>
      <c r="K38" s="44"/>
      <c r="L38" s="45"/>
      <c r="M38" s="63"/>
      <c r="N38" s="52"/>
      <c r="AB38" s="138"/>
      <c r="AC38" s="166"/>
      <c r="AD38" s="8"/>
      <c r="AE38" s="53">
        <v>202</v>
      </c>
      <c r="AF38" s="167">
        <v>6046</v>
      </c>
      <c r="AG38" s="48"/>
      <c r="AH38" s="42"/>
      <c r="AI38" s="168"/>
      <c r="AJ38" s="42"/>
      <c r="AK38" s="169"/>
      <c r="AL38" s="42"/>
      <c r="AM38" s="52"/>
    </row>
    <row r="39" spans="1:50" ht="15.75" thickBot="1" x14ac:dyDescent="0.3">
      <c r="B39" s="8"/>
      <c r="C39" s="8"/>
      <c r="D39" s="8"/>
      <c r="E39" s="159"/>
      <c r="F39" s="22" t="s">
        <v>32</v>
      </c>
      <c r="G39" s="67">
        <v>3.13</v>
      </c>
      <c r="H39" s="34">
        <v>2.13</v>
      </c>
      <c r="I39" s="26"/>
      <c r="J39" s="55"/>
      <c r="K39" s="170"/>
      <c r="L39" s="116"/>
      <c r="M39" s="147"/>
      <c r="N39" s="52"/>
      <c r="AB39" s="138"/>
      <c r="AC39" s="166"/>
      <c r="AD39" s="8"/>
      <c r="AE39" s="53">
        <v>206</v>
      </c>
      <c r="AF39" s="167">
        <v>55101</v>
      </c>
      <c r="AG39" s="48"/>
      <c r="AH39" s="42"/>
      <c r="AI39" s="168"/>
      <c r="AJ39" s="42"/>
      <c r="AK39" s="169"/>
      <c r="AL39" s="42"/>
      <c r="AM39" s="52"/>
    </row>
    <row r="40" spans="1:50" x14ac:dyDescent="0.25">
      <c r="K40" s="171"/>
      <c r="L40" s="172">
        <f>AVERAGE(L8,L11,L14,L23,L27,L31,L32,L37)</f>
        <v>4.9235051337951479</v>
      </c>
      <c r="AB40" s="138"/>
      <c r="AC40" s="166"/>
      <c r="AD40" s="8"/>
      <c r="AE40" s="53">
        <v>207</v>
      </c>
      <c r="AF40" s="167">
        <v>12289</v>
      </c>
      <c r="AG40" s="168">
        <v>205</v>
      </c>
      <c r="AH40" s="173">
        <v>2338.3000000000002</v>
      </c>
      <c r="AI40" s="174"/>
      <c r="AJ40" s="175"/>
      <c r="AK40" s="169"/>
      <c r="AL40" s="42"/>
      <c r="AM40" s="52"/>
    </row>
    <row r="41" spans="1:50" ht="15.75" thickBot="1" x14ac:dyDescent="0.3">
      <c r="K41" s="171"/>
      <c r="L41" s="126"/>
      <c r="AB41" s="138"/>
      <c r="AC41" s="166"/>
      <c r="AD41" s="8"/>
      <c r="AE41" s="53">
        <v>208</v>
      </c>
      <c r="AF41" s="167">
        <v>2231</v>
      </c>
      <c r="AG41" s="168"/>
      <c r="AH41" s="176"/>
      <c r="AI41" s="177"/>
      <c r="AJ41" s="178"/>
      <c r="AK41" s="169"/>
      <c r="AL41" s="42"/>
      <c r="AM41" s="52"/>
    </row>
    <row r="42" spans="1:50" x14ac:dyDescent="0.25">
      <c r="K42" s="171"/>
      <c r="L42" s="47"/>
      <c r="AB42" s="138"/>
      <c r="AC42" s="166"/>
      <c r="AD42" s="8"/>
      <c r="AE42" s="53">
        <v>211</v>
      </c>
      <c r="AF42" s="167">
        <v>1470</v>
      </c>
      <c r="AG42" s="168"/>
      <c r="AH42" s="179"/>
      <c r="AI42" s="180"/>
      <c r="AJ42" s="181"/>
      <c r="AK42" s="169"/>
      <c r="AL42" s="42"/>
      <c r="AM42" s="52"/>
    </row>
    <row r="43" spans="1:50" x14ac:dyDescent="0.25">
      <c r="A43" s="158" t="s">
        <v>50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82"/>
      <c r="AB43" s="183"/>
      <c r="AC43" s="166"/>
      <c r="AD43" s="8">
        <v>2008</v>
      </c>
      <c r="AE43" s="53">
        <v>201</v>
      </c>
      <c r="AF43" s="167">
        <v>58524</v>
      </c>
      <c r="AG43" s="48">
        <v>203</v>
      </c>
      <c r="AH43" s="42">
        <f>AQ77</f>
        <v>101241.58749463219</v>
      </c>
      <c r="AI43" s="168">
        <v>204</v>
      </c>
      <c r="AJ43" s="42">
        <v>3525</v>
      </c>
      <c r="AK43" s="169"/>
      <c r="AL43" s="42">
        <v>3925</v>
      </c>
      <c r="AM43" s="47"/>
    </row>
    <row r="44" spans="1:50" x14ac:dyDescent="0.25">
      <c r="K44" s="171"/>
      <c r="L44" s="47"/>
      <c r="AC44" s="166"/>
      <c r="AD44" s="8"/>
      <c r="AE44" s="53">
        <v>202</v>
      </c>
      <c r="AF44" s="167">
        <v>4080</v>
      </c>
      <c r="AG44" s="48"/>
      <c r="AH44" s="42"/>
      <c r="AI44" s="168"/>
      <c r="AJ44" s="42"/>
      <c r="AK44" s="169"/>
      <c r="AL44" s="42"/>
      <c r="AM44" s="7"/>
    </row>
    <row r="45" spans="1:50" x14ac:dyDescent="0.25">
      <c r="G45" s="162" t="s">
        <v>61</v>
      </c>
      <c r="H45" s="162"/>
      <c r="I45" s="162"/>
      <c r="J45" s="162"/>
      <c r="AC45" s="166"/>
      <c r="AD45" s="8"/>
      <c r="AE45" s="53">
        <v>206</v>
      </c>
      <c r="AF45" s="167">
        <v>48995</v>
      </c>
      <c r="AG45" s="48"/>
      <c r="AH45" s="42"/>
      <c r="AI45" s="168"/>
      <c r="AJ45" s="42"/>
      <c r="AK45" s="169"/>
      <c r="AL45" s="42"/>
      <c r="AM45" s="7"/>
    </row>
    <row r="46" spans="1:50" x14ac:dyDescent="0.25">
      <c r="F46" s="184" t="s">
        <v>62</v>
      </c>
      <c r="G46" s="8" t="s">
        <v>47</v>
      </c>
      <c r="H46" s="34" t="s">
        <v>63</v>
      </c>
      <c r="I46" s="167">
        <v>2437</v>
      </c>
      <c r="J46" s="134">
        <f>AVERAGE(I46:I48)</f>
        <v>2576.3333333333335</v>
      </c>
      <c r="AC46" s="166"/>
      <c r="AD46" s="8"/>
      <c r="AE46" s="53">
        <v>207</v>
      </c>
      <c r="AF46" s="167">
        <v>14047</v>
      </c>
      <c r="AG46" s="168">
        <v>205</v>
      </c>
      <c r="AH46" s="173">
        <v>1564.2</v>
      </c>
      <c r="AI46" s="174"/>
      <c r="AJ46" s="175"/>
      <c r="AK46" s="169"/>
      <c r="AL46" s="42"/>
      <c r="AM46" s="7"/>
    </row>
    <row r="47" spans="1:50" x14ac:dyDescent="0.25">
      <c r="F47" s="185"/>
      <c r="G47" s="8"/>
      <c r="H47" s="34" t="s">
        <v>64</v>
      </c>
      <c r="I47" s="167">
        <v>2505</v>
      </c>
      <c r="J47" s="134"/>
      <c r="AC47" s="166"/>
      <c r="AD47" s="8"/>
      <c r="AE47" s="53">
        <v>208</v>
      </c>
      <c r="AF47" s="167">
        <v>2074</v>
      </c>
      <c r="AG47" s="168"/>
      <c r="AH47" s="176"/>
      <c r="AI47" s="177"/>
      <c r="AJ47" s="178"/>
      <c r="AK47" s="169"/>
      <c r="AL47" s="42"/>
      <c r="AM47" s="7"/>
    </row>
    <row r="48" spans="1:50" x14ac:dyDescent="0.25">
      <c r="F48" s="185"/>
      <c r="G48" s="8"/>
      <c r="H48" s="34" t="s">
        <v>65</v>
      </c>
      <c r="I48" s="167">
        <v>2787</v>
      </c>
      <c r="J48" s="134"/>
      <c r="AC48" s="166"/>
      <c r="AD48" s="8"/>
      <c r="AE48" s="53">
        <v>211</v>
      </c>
      <c r="AF48" s="167">
        <v>1491</v>
      </c>
      <c r="AG48" s="168"/>
      <c r="AH48" s="179"/>
      <c r="AI48" s="180"/>
      <c r="AJ48" s="181"/>
      <c r="AK48" s="169"/>
      <c r="AL48" s="42"/>
      <c r="AM48" s="7"/>
    </row>
    <row r="49" spans="1:39" x14ac:dyDescent="0.25">
      <c r="F49" s="185"/>
      <c r="G49" s="8" t="s">
        <v>45</v>
      </c>
      <c r="H49" s="34" t="s">
        <v>63</v>
      </c>
      <c r="I49" s="167">
        <v>1722</v>
      </c>
      <c r="J49" s="134">
        <f>AVERAGE(I49:I51)</f>
        <v>1912</v>
      </c>
      <c r="AB49" s="183"/>
      <c r="AC49" s="166"/>
      <c r="AD49" s="8">
        <v>2009</v>
      </c>
      <c r="AE49" s="53">
        <v>201</v>
      </c>
      <c r="AF49" s="167">
        <v>59617</v>
      </c>
      <c r="AG49" s="48">
        <v>203</v>
      </c>
      <c r="AH49" s="42">
        <f>AQ78</f>
        <v>83113.650729956251</v>
      </c>
      <c r="AI49" s="168">
        <v>204</v>
      </c>
      <c r="AJ49" s="42">
        <v>5017</v>
      </c>
      <c r="AK49" s="169"/>
      <c r="AL49" s="42">
        <v>4774</v>
      </c>
      <c r="AM49" s="7"/>
    </row>
    <row r="50" spans="1:39" x14ac:dyDescent="0.25">
      <c r="F50" s="185"/>
      <c r="G50" s="8"/>
      <c r="H50" s="34" t="s">
        <v>64</v>
      </c>
      <c r="I50" s="167">
        <v>1526</v>
      </c>
      <c r="J50" s="134"/>
      <c r="AC50" s="166"/>
      <c r="AD50" s="8"/>
      <c r="AE50" s="53">
        <v>202</v>
      </c>
      <c r="AF50" s="167">
        <v>6433</v>
      </c>
      <c r="AG50" s="48"/>
      <c r="AH50" s="42"/>
      <c r="AI50" s="168"/>
      <c r="AJ50" s="42"/>
      <c r="AK50" s="169"/>
      <c r="AL50" s="42"/>
      <c r="AM50" s="7"/>
    </row>
    <row r="51" spans="1:39" x14ac:dyDescent="0.25">
      <c r="A51" s="138"/>
      <c r="B51" s="138"/>
      <c r="C51" s="138"/>
      <c r="D51" s="138"/>
      <c r="E51" s="138"/>
      <c r="F51" s="185"/>
      <c r="G51" s="8"/>
      <c r="H51" s="22" t="s">
        <v>65</v>
      </c>
      <c r="I51" s="54">
        <v>2488</v>
      </c>
      <c r="J51" s="49"/>
      <c r="K51" s="138"/>
      <c r="L51" s="138"/>
      <c r="AC51" s="166"/>
      <c r="AD51" s="8"/>
      <c r="AE51" s="53">
        <v>206</v>
      </c>
      <c r="AF51" s="167">
        <v>53934</v>
      </c>
      <c r="AG51" s="48"/>
      <c r="AH51" s="42"/>
      <c r="AI51" s="168"/>
      <c r="AJ51" s="42"/>
      <c r="AK51" s="169"/>
      <c r="AL51" s="42"/>
      <c r="AM51" s="7"/>
    </row>
    <row r="52" spans="1:39" x14ac:dyDescent="0.25">
      <c r="A52" s="138"/>
      <c r="B52" s="138"/>
      <c r="C52" s="138"/>
      <c r="D52" s="138"/>
      <c r="E52" s="138"/>
      <c r="F52" s="185"/>
      <c r="G52" s="162" t="s">
        <v>66</v>
      </c>
      <c r="H52" s="162"/>
      <c r="I52" s="186"/>
      <c r="J52" s="187"/>
      <c r="K52" s="138"/>
      <c r="L52" s="138"/>
      <c r="AC52" s="166"/>
      <c r="AD52" s="8"/>
      <c r="AE52" s="53">
        <v>207</v>
      </c>
      <c r="AF52" s="167">
        <v>12575</v>
      </c>
      <c r="AG52" s="48"/>
      <c r="AH52" s="42"/>
      <c r="AI52" s="168"/>
      <c r="AJ52" s="42"/>
      <c r="AK52" s="169"/>
      <c r="AL52" s="42"/>
      <c r="AM52" s="7"/>
    </row>
    <row r="53" spans="1:39" ht="15" customHeight="1" x14ac:dyDescent="0.25">
      <c r="A53" s="138"/>
      <c r="B53" s="47"/>
      <c r="C53" s="47"/>
      <c r="D53" s="47"/>
      <c r="E53" s="47"/>
      <c r="F53" s="185"/>
      <c r="G53" s="8" t="s">
        <v>45</v>
      </c>
      <c r="H53" s="67">
        <v>41.3</v>
      </c>
      <c r="I53" s="188">
        <f>SUM(H53:H55)</f>
        <v>89.3</v>
      </c>
      <c r="J53" s="189"/>
      <c r="K53" s="47"/>
      <c r="L53" s="138"/>
      <c r="AC53" s="166"/>
      <c r="AD53" s="8"/>
      <c r="AE53" s="53">
        <v>208</v>
      </c>
      <c r="AF53" s="167">
        <v>2071</v>
      </c>
      <c r="AG53" s="48"/>
      <c r="AH53" s="42"/>
      <c r="AI53" s="168"/>
      <c r="AJ53" s="42"/>
      <c r="AK53" s="169"/>
      <c r="AL53" s="42"/>
      <c r="AM53" s="7"/>
    </row>
    <row r="54" spans="1:39" x14ac:dyDescent="0.25">
      <c r="A54" s="138"/>
      <c r="B54" s="138"/>
      <c r="C54" s="138"/>
      <c r="D54" s="138"/>
      <c r="E54" s="138"/>
      <c r="F54" s="185"/>
      <c r="G54" s="8"/>
      <c r="H54" s="190">
        <v>24</v>
      </c>
      <c r="I54" s="188"/>
      <c r="J54" s="191"/>
      <c r="K54" s="138"/>
      <c r="L54" s="138"/>
      <c r="AC54" s="166"/>
      <c r="AD54" s="8"/>
      <c r="AE54" s="53">
        <v>211</v>
      </c>
      <c r="AF54" s="167">
        <v>1415</v>
      </c>
      <c r="AG54" s="48"/>
      <c r="AH54" s="42"/>
      <c r="AI54" s="168"/>
      <c r="AJ54" s="42"/>
      <c r="AK54" s="169"/>
      <c r="AL54" s="42"/>
      <c r="AM54" s="7"/>
    </row>
    <row r="55" spans="1:39" x14ac:dyDescent="0.25">
      <c r="F55" s="185"/>
      <c r="G55" s="8"/>
      <c r="H55" s="192">
        <v>24</v>
      </c>
      <c r="I55" s="188"/>
      <c r="J55" s="193"/>
      <c r="AB55" s="183"/>
      <c r="AC55" s="166"/>
      <c r="AD55" s="8">
        <v>2010</v>
      </c>
      <c r="AE55" s="53">
        <v>201</v>
      </c>
      <c r="AF55" s="167">
        <v>55593</v>
      </c>
      <c r="AG55" s="48">
        <v>203</v>
      </c>
      <c r="AH55" s="42">
        <f>AQ79</f>
        <v>100515.28229321136</v>
      </c>
      <c r="AI55" s="168">
        <v>204</v>
      </c>
      <c r="AJ55" s="42">
        <v>4025</v>
      </c>
      <c r="AK55" s="169"/>
      <c r="AL55" s="42">
        <v>4629</v>
      </c>
      <c r="AM55" s="7"/>
    </row>
    <row r="56" spans="1:39" x14ac:dyDescent="0.25">
      <c r="F56" s="185"/>
      <c r="G56" s="8" t="s">
        <v>47</v>
      </c>
      <c r="H56" s="192">
        <v>26</v>
      </c>
      <c r="I56" s="194">
        <f>SUM(H56:H65)</f>
        <v>332.69999999999993</v>
      </c>
      <c r="J56" s="193"/>
      <c r="AC56" s="166"/>
      <c r="AD56" s="8"/>
      <c r="AE56" s="53">
        <v>202</v>
      </c>
      <c r="AF56" s="167">
        <v>5710</v>
      </c>
      <c r="AG56" s="48"/>
      <c r="AH56" s="42"/>
      <c r="AI56" s="168"/>
      <c r="AJ56" s="42"/>
      <c r="AK56" s="169"/>
      <c r="AL56" s="42"/>
      <c r="AM56" s="7"/>
    </row>
    <row r="57" spans="1:39" x14ac:dyDescent="0.25">
      <c r="F57" s="185"/>
      <c r="G57" s="8"/>
      <c r="H57" s="192">
        <v>26</v>
      </c>
      <c r="I57" s="194"/>
      <c r="J57" s="193"/>
      <c r="AC57" s="166"/>
      <c r="AD57" s="8"/>
      <c r="AE57" s="53">
        <v>206</v>
      </c>
      <c r="AF57" s="167">
        <v>51225</v>
      </c>
      <c r="AG57" s="48"/>
      <c r="AH57" s="42"/>
      <c r="AI57" s="168"/>
      <c r="AJ57" s="42"/>
      <c r="AK57" s="169"/>
      <c r="AL57" s="42"/>
      <c r="AM57" s="7"/>
    </row>
    <row r="58" spans="1:39" x14ac:dyDescent="0.25">
      <c r="F58" s="185"/>
      <c r="G58" s="8"/>
      <c r="H58" s="192">
        <v>41.3</v>
      </c>
      <c r="I58" s="194"/>
      <c r="J58" s="193"/>
      <c r="AC58" s="166"/>
      <c r="AD58" s="8"/>
      <c r="AE58" s="53">
        <v>207</v>
      </c>
      <c r="AF58" s="167">
        <v>10291</v>
      </c>
      <c r="AG58" s="48"/>
      <c r="AH58" s="42"/>
      <c r="AI58" s="168"/>
      <c r="AJ58" s="42"/>
      <c r="AK58" s="169"/>
      <c r="AL58" s="42"/>
      <c r="AM58" s="7"/>
    </row>
    <row r="59" spans="1:39" x14ac:dyDescent="0.25">
      <c r="F59" s="185"/>
      <c r="G59" s="8"/>
      <c r="H59" s="192">
        <v>41.3</v>
      </c>
      <c r="I59" s="194"/>
      <c r="J59" s="193"/>
      <c r="AC59" s="166"/>
      <c r="AD59" s="8"/>
      <c r="AE59" s="53">
        <v>208</v>
      </c>
      <c r="AF59" s="167">
        <v>971</v>
      </c>
      <c r="AG59" s="48"/>
      <c r="AH59" s="42"/>
      <c r="AI59" s="168"/>
      <c r="AJ59" s="42"/>
      <c r="AK59" s="169"/>
      <c r="AL59" s="42"/>
      <c r="AM59" s="7"/>
    </row>
    <row r="60" spans="1:39" x14ac:dyDescent="0.25">
      <c r="F60" s="185"/>
      <c r="G60" s="8"/>
      <c r="H60" s="192">
        <v>41.3</v>
      </c>
      <c r="I60" s="194"/>
      <c r="J60" s="193"/>
      <c r="AC60" s="166"/>
      <c r="AD60" s="8"/>
      <c r="AE60" s="53">
        <v>211</v>
      </c>
      <c r="AF60" s="167">
        <v>1403</v>
      </c>
      <c r="AG60" s="48"/>
      <c r="AH60" s="42"/>
      <c r="AI60" s="168"/>
      <c r="AJ60" s="42"/>
      <c r="AK60" s="169"/>
      <c r="AL60" s="42"/>
      <c r="AM60" s="7"/>
    </row>
    <row r="61" spans="1:39" x14ac:dyDescent="0.25">
      <c r="F61" s="185"/>
      <c r="G61" s="8"/>
      <c r="H61" s="192">
        <v>53.4</v>
      </c>
      <c r="I61" s="194"/>
      <c r="J61" s="193"/>
      <c r="AB61" s="183"/>
      <c r="AC61" s="166"/>
      <c r="AD61" s="8">
        <v>2011</v>
      </c>
      <c r="AE61" s="53">
        <v>201</v>
      </c>
      <c r="AF61" s="167">
        <v>59174</v>
      </c>
      <c r="AG61" s="48">
        <v>203</v>
      </c>
      <c r="AH61" s="42">
        <f>AQ80</f>
        <v>76118.355069239595</v>
      </c>
      <c r="AI61" s="168">
        <v>204</v>
      </c>
      <c r="AJ61" s="42">
        <v>3402</v>
      </c>
      <c r="AK61" s="169"/>
      <c r="AL61" s="42">
        <v>4610</v>
      </c>
      <c r="AM61" s="7"/>
    </row>
    <row r="62" spans="1:39" x14ac:dyDescent="0.25">
      <c r="F62" s="185"/>
      <c r="G62" s="8"/>
      <c r="H62" s="192">
        <v>24.5</v>
      </c>
      <c r="I62" s="194"/>
      <c r="J62" s="193"/>
      <c r="AC62" s="166"/>
      <c r="AD62" s="8"/>
      <c r="AE62" s="53">
        <v>202</v>
      </c>
      <c r="AF62" s="167">
        <v>5044</v>
      </c>
      <c r="AG62" s="48"/>
      <c r="AH62" s="42"/>
      <c r="AI62" s="168"/>
      <c r="AJ62" s="42"/>
      <c r="AK62" s="169"/>
      <c r="AL62" s="42"/>
      <c r="AM62" s="7"/>
    </row>
    <row r="63" spans="1:39" x14ac:dyDescent="0.25">
      <c r="F63" s="185"/>
      <c r="G63" s="8"/>
      <c r="H63" s="192">
        <v>28.6</v>
      </c>
      <c r="I63" s="194"/>
      <c r="J63" s="193"/>
      <c r="AC63" s="166"/>
      <c r="AD63" s="8"/>
      <c r="AE63" s="53">
        <v>206</v>
      </c>
      <c r="AF63" s="167">
        <v>38240</v>
      </c>
      <c r="AG63" s="48"/>
      <c r="AH63" s="42"/>
      <c r="AI63" s="168"/>
      <c r="AJ63" s="42"/>
      <c r="AK63" s="169"/>
      <c r="AL63" s="42"/>
      <c r="AM63" s="7"/>
    </row>
    <row r="64" spans="1:39" x14ac:dyDescent="0.25">
      <c r="F64" s="185"/>
      <c r="G64" s="8"/>
      <c r="H64" s="192">
        <v>25.15</v>
      </c>
      <c r="I64" s="194"/>
      <c r="J64" s="193"/>
      <c r="AC64" s="166"/>
      <c r="AD64" s="8"/>
      <c r="AE64" s="53">
        <v>207</v>
      </c>
      <c r="AF64" s="167">
        <v>11323</v>
      </c>
      <c r="AG64" s="48"/>
      <c r="AH64" s="42"/>
      <c r="AI64" s="168"/>
      <c r="AJ64" s="42"/>
      <c r="AK64" s="169"/>
      <c r="AL64" s="42"/>
      <c r="AM64" s="7"/>
    </row>
    <row r="65" spans="6:43" x14ac:dyDescent="0.25">
      <c r="F65" s="195"/>
      <c r="G65" s="8"/>
      <c r="H65" s="192">
        <v>25.15</v>
      </c>
      <c r="I65" s="194"/>
      <c r="J65" s="193"/>
      <c r="AC65" s="166"/>
      <c r="AD65" s="8"/>
      <c r="AE65" s="53">
        <v>208</v>
      </c>
      <c r="AF65" s="167">
        <v>2025</v>
      </c>
      <c r="AG65" s="48"/>
      <c r="AH65" s="42"/>
      <c r="AI65" s="168"/>
      <c r="AJ65" s="42"/>
      <c r="AK65" s="169"/>
      <c r="AL65" s="42"/>
      <c r="AM65" s="7"/>
    </row>
    <row r="66" spans="6:43" x14ac:dyDescent="0.25">
      <c r="F66" s="196" t="s">
        <v>67</v>
      </c>
      <c r="G66" s="65" t="s">
        <v>68</v>
      </c>
      <c r="H66" s="192">
        <v>115</v>
      </c>
      <c r="I66" s="194">
        <f>SUM(H66:H76)</f>
        <v>516.04999999999995</v>
      </c>
      <c r="J66" s="193"/>
      <c r="AC66" s="166"/>
      <c r="AD66" s="8"/>
      <c r="AE66" s="53">
        <v>211</v>
      </c>
      <c r="AF66" s="167">
        <v>1319</v>
      </c>
      <c r="AG66" s="48"/>
      <c r="AH66" s="42"/>
      <c r="AI66" s="168"/>
      <c r="AJ66" s="42"/>
      <c r="AK66" s="169"/>
      <c r="AL66" s="42"/>
      <c r="AM66" s="7"/>
    </row>
    <row r="67" spans="6:43" x14ac:dyDescent="0.25">
      <c r="F67" s="197"/>
      <c r="G67" s="65"/>
      <c r="H67" s="192">
        <v>17</v>
      </c>
      <c r="I67" s="194"/>
      <c r="J67" s="193"/>
      <c r="AB67" s="183"/>
      <c r="AC67" s="166"/>
      <c r="AD67" s="8">
        <v>2012</v>
      </c>
      <c r="AE67" s="53">
        <v>201</v>
      </c>
      <c r="AF67" s="167">
        <v>48733</v>
      </c>
      <c r="AG67" s="48">
        <v>203</v>
      </c>
      <c r="AH67" s="42">
        <f>AQ81</f>
        <v>71439.430318665633</v>
      </c>
      <c r="AI67" s="168">
        <v>204</v>
      </c>
      <c r="AJ67" s="42">
        <v>2916</v>
      </c>
      <c r="AK67" s="169"/>
      <c r="AL67" s="42">
        <v>4614</v>
      </c>
      <c r="AM67" s="7"/>
    </row>
    <row r="68" spans="6:43" x14ac:dyDescent="0.25">
      <c r="F68" s="197"/>
      <c r="G68" s="65"/>
      <c r="H68" s="192">
        <v>32.85</v>
      </c>
      <c r="I68" s="194"/>
      <c r="J68" s="193"/>
      <c r="AC68" s="166"/>
      <c r="AD68" s="8"/>
      <c r="AE68" s="53">
        <v>202</v>
      </c>
      <c r="AF68" s="167">
        <v>3647</v>
      </c>
      <c r="AG68" s="48"/>
      <c r="AH68" s="42"/>
      <c r="AI68" s="168"/>
      <c r="AJ68" s="42"/>
      <c r="AK68" s="169"/>
      <c r="AL68" s="42"/>
      <c r="AM68" s="7"/>
    </row>
    <row r="69" spans="6:43" x14ac:dyDescent="0.25">
      <c r="F69" s="197"/>
      <c r="G69" s="65"/>
      <c r="H69" s="192">
        <v>33.700000000000003</v>
      </c>
      <c r="I69" s="194"/>
      <c r="J69" s="193"/>
      <c r="AC69" s="166"/>
      <c r="AD69" s="8"/>
      <c r="AE69" s="53">
        <v>206</v>
      </c>
      <c r="AF69" s="167">
        <v>24843</v>
      </c>
      <c r="AG69" s="48"/>
      <c r="AH69" s="42"/>
      <c r="AI69" s="168"/>
      <c r="AJ69" s="42"/>
      <c r="AK69" s="169"/>
      <c r="AL69" s="42"/>
      <c r="AM69" s="7"/>
    </row>
    <row r="70" spans="6:43" x14ac:dyDescent="0.25">
      <c r="F70" s="197"/>
      <c r="G70" s="65"/>
      <c r="H70" s="192">
        <v>32.700000000000003</v>
      </c>
      <c r="I70" s="194"/>
      <c r="J70" s="193"/>
      <c r="AC70" s="166"/>
      <c r="AD70" s="8"/>
      <c r="AE70" s="53">
        <v>207</v>
      </c>
      <c r="AF70" s="167">
        <v>10773</v>
      </c>
      <c r="AG70" s="48"/>
      <c r="AH70" s="42"/>
      <c r="AI70" s="168"/>
      <c r="AJ70" s="42"/>
      <c r="AK70" s="169"/>
      <c r="AL70" s="42"/>
      <c r="AM70" s="7"/>
    </row>
    <row r="71" spans="6:43" x14ac:dyDescent="0.25">
      <c r="F71" s="197"/>
      <c r="G71" s="65"/>
      <c r="H71" s="192">
        <v>33.6</v>
      </c>
      <c r="I71" s="194"/>
      <c r="J71" s="193"/>
      <c r="AC71" s="166"/>
      <c r="AD71" s="8"/>
      <c r="AE71" s="53">
        <v>208</v>
      </c>
      <c r="AF71" s="167">
        <v>1966</v>
      </c>
      <c r="AG71" s="48"/>
      <c r="AH71" s="42"/>
      <c r="AI71" s="168"/>
      <c r="AJ71" s="42"/>
      <c r="AK71" s="169"/>
      <c r="AL71" s="42"/>
      <c r="AM71" s="7"/>
    </row>
    <row r="72" spans="6:43" x14ac:dyDescent="0.25">
      <c r="F72" s="197"/>
      <c r="G72" s="65"/>
      <c r="H72" s="192">
        <v>32.700000000000003</v>
      </c>
      <c r="I72" s="194"/>
      <c r="J72" s="193"/>
      <c r="AC72" s="166"/>
      <c r="AD72" s="8"/>
      <c r="AE72" s="53">
        <v>211</v>
      </c>
      <c r="AF72" s="167">
        <v>1311</v>
      </c>
      <c r="AG72" s="48"/>
      <c r="AH72" s="42"/>
      <c r="AI72" s="168"/>
      <c r="AJ72" s="42"/>
      <c r="AK72" s="169"/>
      <c r="AL72" s="42"/>
      <c r="AM72" s="7"/>
    </row>
    <row r="73" spans="6:43" x14ac:dyDescent="0.25">
      <c r="F73" s="197"/>
      <c r="G73" s="65"/>
      <c r="H73" s="192">
        <v>52.7</v>
      </c>
      <c r="I73" s="194"/>
      <c r="J73" s="193"/>
    </row>
    <row r="74" spans="6:43" ht="15.75" thickBot="1" x14ac:dyDescent="0.3">
      <c r="F74" s="197"/>
      <c r="G74" s="65"/>
      <c r="H74" s="192">
        <v>49.3</v>
      </c>
      <c r="I74" s="194"/>
      <c r="J74" s="193"/>
      <c r="AE74" s="162" t="s">
        <v>69</v>
      </c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</row>
    <row r="75" spans="6:43" x14ac:dyDescent="0.25">
      <c r="F75" s="197"/>
      <c r="G75" s="65"/>
      <c r="H75" s="192">
        <v>101</v>
      </c>
      <c r="I75" s="194"/>
      <c r="J75" s="193"/>
      <c r="AC75" s="198"/>
      <c r="AD75" s="127"/>
      <c r="AE75" s="34" t="s">
        <v>70</v>
      </c>
      <c r="AF75" s="36" t="s">
        <v>71</v>
      </c>
      <c r="AG75" s="36" t="s">
        <v>72</v>
      </c>
      <c r="AH75" s="36" t="s">
        <v>73</v>
      </c>
      <c r="AI75" s="36" t="s">
        <v>74</v>
      </c>
      <c r="AJ75" s="36" t="s">
        <v>75</v>
      </c>
      <c r="AK75" s="36" t="s">
        <v>63</v>
      </c>
      <c r="AL75" s="36" t="s">
        <v>76</v>
      </c>
      <c r="AM75" s="36" t="s">
        <v>64</v>
      </c>
      <c r="AN75" s="36" t="s">
        <v>65</v>
      </c>
      <c r="AO75" s="36" t="s">
        <v>77</v>
      </c>
      <c r="AP75" s="199" t="s">
        <v>78</v>
      </c>
      <c r="AQ75" s="200" t="s">
        <v>79</v>
      </c>
    </row>
    <row r="76" spans="6:43" x14ac:dyDescent="0.25">
      <c r="F76" s="201"/>
      <c r="G76" s="65"/>
      <c r="H76" s="192">
        <v>15.5</v>
      </c>
      <c r="I76" s="194"/>
      <c r="J76" s="193"/>
      <c r="AC76" s="36">
        <v>2007</v>
      </c>
      <c r="AD76" s="202" t="s">
        <v>80</v>
      </c>
      <c r="AE76" s="167">
        <f>[3]UTAS!$E$22</f>
        <v>7395.2075629006113</v>
      </c>
      <c r="AF76" s="167">
        <f>[4]UTAS!$E$22</f>
        <v>12409.921626626254</v>
      </c>
      <c r="AG76" s="167">
        <f>[5]UTAS!$E$22</f>
        <v>13383.828806938873</v>
      </c>
      <c r="AH76" s="167">
        <f>[6]UTAS!$E$22</f>
        <v>9801.0928997483843</v>
      </c>
      <c r="AI76" s="167">
        <f>[7]UTAS!$E$22</f>
        <v>6317.1052010619323</v>
      </c>
      <c r="AJ76" s="167">
        <f>[8]UTAS!$E$22</f>
        <v>7316.3886167222308</v>
      </c>
      <c r="AK76" s="167">
        <f>[9]UTAS!$E$22</f>
        <v>10559.874040407167</v>
      </c>
      <c r="AL76" s="167">
        <f>[10]UTAS!$E$22</f>
        <v>911.28808574928314</v>
      </c>
      <c r="AM76" s="167">
        <f>[11]UTAS!$E$22</f>
        <v>9559.6939775146966</v>
      </c>
      <c r="AN76" s="167">
        <f>[12]UTAS!$E$22</f>
        <v>8376.0057695937248</v>
      </c>
      <c r="AO76" s="167">
        <f>[13]UTAS!$E$22</f>
        <v>12568.031792665504</v>
      </c>
      <c r="AP76" s="203">
        <f>[14]UTAS!$E$22</f>
        <v>12400.246793598593</v>
      </c>
      <c r="AQ76" s="204">
        <f>SUM(AE76:AP76)</f>
        <v>110998.68517352726</v>
      </c>
    </row>
    <row r="77" spans="6:43" x14ac:dyDescent="0.25">
      <c r="AC77" s="34">
        <v>2008</v>
      </c>
      <c r="AD77" s="202"/>
      <c r="AE77" s="167">
        <f>[15]UTAS!$E$22</f>
        <v>12958.553607425818</v>
      </c>
      <c r="AF77" s="167">
        <f>[16]UTAS!$E$22</f>
        <v>12439.982723838364</v>
      </c>
      <c r="AG77" s="167">
        <f>[17]UTAS!$E$22</f>
        <v>12642.851631174182</v>
      </c>
      <c r="AH77" s="167">
        <f>[18]UTAS!$E$22</f>
        <v>6967.8698446229382</v>
      </c>
      <c r="AI77" s="167">
        <f>[19]UTAS!$E$22</f>
        <v>4276.19290686559</v>
      </c>
      <c r="AJ77" s="167">
        <f>[20]UTAS!$E$22</f>
        <v>3091.4474775013314</v>
      </c>
      <c r="AK77" s="167">
        <f>[21]UTAS!$E$22</f>
        <v>15365.666845189142</v>
      </c>
      <c r="AL77" s="167">
        <f>[22]UTAS!$E$22</f>
        <v>5244.6293277653986</v>
      </c>
      <c r="AM77" s="167">
        <f>[23]UTAS!$E$22</f>
        <v>7655.6782165925206</v>
      </c>
      <c r="AN77" s="167">
        <f>[24]UTAS!$E$22</f>
        <v>5491.4810703766652</v>
      </c>
      <c r="AO77" s="167">
        <f>[25]UTAS!$E$22</f>
        <v>8967.5848797578165</v>
      </c>
      <c r="AP77" s="203">
        <f>[26]UTAS!$E$22</f>
        <v>6139.6489635224025</v>
      </c>
      <c r="AQ77" s="204">
        <f t="shared" ref="AQ77:AQ81" si="2">SUM(AE77:AP77)</f>
        <v>101241.58749463219</v>
      </c>
    </row>
    <row r="78" spans="6:43" x14ac:dyDescent="0.25">
      <c r="AC78" s="34">
        <v>2009</v>
      </c>
      <c r="AD78" s="202"/>
      <c r="AE78" s="167">
        <f>[27]UTAS!$E$22</f>
        <v>12357.398842670942</v>
      </c>
      <c r="AF78" s="167">
        <f>[28]UTAS!$E$22</f>
        <v>7976.6496087344467</v>
      </c>
      <c r="AG78" s="167">
        <f>[29]UTAS!$E$22</f>
        <v>6830.3771230991806</v>
      </c>
      <c r="AH78" s="167">
        <f>[30]UTAS!$E$22</f>
        <v>5278.3629899369807</v>
      </c>
      <c r="AI78" s="167">
        <f>[31]UTAS!$E$22</f>
        <v>6066.0911023743101</v>
      </c>
      <c r="AJ78" s="167">
        <f>[32]UTAS!$E$22</f>
        <v>4948.0828630291962</v>
      </c>
      <c r="AK78" s="167">
        <f>[33]UTAS!$E$22</f>
        <v>6481.4439062140427</v>
      </c>
      <c r="AL78" s="167">
        <f>[34]UTAS!$E$22</f>
        <v>3367.0978228301774</v>
      </c>
      <c r="AM78" s="167">
        <f>[35]UTAS!$E$22</f>
        <v>8399.7484000467866</v>
      </c>
      <c r="AN78" s="167">
        <f>[36]UTAS!$E$22</f>
        <v>9418.9163933154723</v>
      </c>
      <c r="AO78" s="167">
        <f>[37]UTAS!$E$22</f>
        <v>5681.9365447771115</v>
      </c>
      <c r="AP78" s="203">
        <f>[38]UTAS!$E$22</f>
        <v>6307.5451329276029</v>
      </c>
      <c r="AQ78" s="204">
        <f t="shared" si="2"/>
        <v>83113.650729956251</v>
      </c>
    </row>
    <row r="79" spans="6:43" x14ac:dyDescent="0.25">
      <c r="AC79" s="34">
        <v>2010</v>
      </c>
      <c r="AD79" s="202"/>
      <c r="AE79" s="167">
        <f>[39]UTAS!$E$22</f>
        <v>16372.440624573685</v>
      </c>
      <c r="AF79" s="167">
        <f>[40]UTAS!$E$22</f>
        <v>9138.7903082445609</v>
      </c>
      <c r="AG79" s="167">
        <f>[41]UTAS!$E$22</f>
        <v>12458.667086535439</v>
      </c>
      <c r="AH79" s="167">
        <f>[42]UTAS!$E$22</f>
        <v>5140.7068018961245</v>
      </c>
      <c r="AI79" s="167">
        <f>[43]UTAS!$E$22</f>
        <v>4583.4252629422872</v>
      </c>
      <c r="AJ79" s="167">
        <f>[44]UTAS!$E$22</f>
        <v>10274.334635886309</v>
      </c>
      <c r="AK79" s="167">
        <f>[45]UTAS!$E$22</f>
        <v>7255.6776922503786</v>
      </c>
      <c r="AL79" s="167">
        <f>[46]UTAS!$E$22</f>
        <v>4642.2840531124439</v>
      </c>
      <c r="AM79" s="167">
        <f>[47]UTAS!$E$22</f>
        <v>9105.6361093833148</v>
      </c>
      <c r="AN79" s="167">
        <f>[48]UTAS!$E$22</f>
        <v>6915.2582248546387</v>
      </c>
      <c r="AO79" s="167">
        <f>[49]UTAS!$E$22</f>
        <v>7545.3998103652366</v>
      </c>
      <c r="AP79" s="203">
        <f>[50]UTAS!$E$22</f>
        <v>7082.6616831669498</v>
      </c>
      <c r="AQ79" s="204">
        <f t="shared" si="2"/>
        <v>100515.28229321136</v>
      </c>
    </row>
    <row r="80" spans="6:43" x14ac:dyDescent="0.25">
      <c r="AC80" s="34">
        <v>2011</v>
      </c>
      <c r="AD80" s="202"/>
      <c r="AE80" s="167">
        <f>[51]UTAS!$E$22</f>
        <v>16027.215832065731</v>
      </c>
      <c r="AF80" s="167">
        <f>[52]UTAS!$E$22</f>
        <v>6710.4898005566747</v>
      </c>
      <c r="AG80" s="167">
        <f>[53]UTAS!$E$22</f>
        <v>3317.3179096715512</v>
      </c>
      <c r="AH80" s="167">
        <f>[54]UTAS!$E$22</f>
        <v>2108.5854917882843</v>
      </c>
      <c r="AI80" s="167">
        <f>[55]UTAS!$E$22</f>
        <v>6865.74048349241</v>
      </c>
      <c r="AJ80" s="167">
        <f>[56]UTAS!$E$22</f>
        <v>6094.369701412943</v>
      </c>
      <c r="AK80" s="167">
        <f>[57]UTAS!$E$22</f>
        <v>4233.7200343026025</v>
      </c>
      <c r="AL80" s="167">
        <f>[58]UTAS!$E$22</f>
        <v>1316.2250063395138</v>
      </c>
      <c r="AM80" s="167">
        <f>[59]UTAS!$E$22</f>
        <v>6351.9538506034542</v>
      </c>
      <c r="AN80" s="167">
        <f>[60]UTAS!$E$22</f>
        <v>5319.2284819038423</v>
      </c>
      <c r="AO80" s="167">
        <f>[61]UTAS!$E$22</f>
        <v>9915.7980859276722</v>
      </c>
      <c r="AP80" s="203">
        <f>[62]UTAS!$E$22</f>
        <v>7857.7103911749109</v>
      </c>
      <c r="AQ80" s="204">
        <f t="shared" si="2"/>
        <v>76118.355069239595</v>
      </c>
    </row>
    <row r="81" spans="29:43" ht="15.75" thickBot="1" x14ac:dyDescent="0.3">
      <c r="AC81" s="34">
        <v>2012</v>
      </c>
      <c r="AD81" s="202"/>
      <c r="AE81" s="167">
        <f>[63]UTAS!$E$22</f>
        <v>6772.6494448818494</v>
      </c>
      <c r="AF81" s="167">
        <f>[64]UTAS!$E$22</f>
        <v>10689.618632383064</v>
      </c>
      <c r="AG81" s="167">
        <f>[65]UTAS!$E$22</f>
        <v>4354.035332127447</v>
      </c>
      <c r="AH81" s="167">
        <f>[66]UTAS!$E$22</f>
        <v>3714.0518017855293</v>
      </c>
      <c r="AI81" s="167">
        <f>[67]UTAS!$E$22</f>
        <v>3533.9027871901626</v>
      </c>
      <c r="AJ81" s="167">
        <f>[68]UTAS!$E$22</f>
        <v>3087.6342941833959</v>
      </c>
      <c r="AK81" s="167">
        <f>[69]UTAS!$E$22</f>
        <v>6298.7273536639232</v>
      </c>
      <c r="AL81" s="167">
        <f>[70]UTAS!$E$22</f>
        <v>2781.6651557377904</v>
      </c>
      <c r="AM81" s="167">
        <f>[71]UTAS!$E$22</f>
        <v>8345.7085894148313</v>
      </c>
      <c r="AN81" s="167">
        <f>[72]UTAS!$E$22</f>
        <v>2765.9546966511512</v>
      </c>
      <c r="AO81" s="167">
        <f>[73]UTAS!$E$22</f>
        <v>12005.901825807105</v>
      </c>
      <c r="AP81" s="203">
        <f>[74]UTAS!$E$22</f>
        <v>7089.5804048393775</v>
      </c>
      <c r="AQ81" s="205">
        <f t="shared" si="2"/>
        <v>71439.430318665633</v>
      </c>
    </row>
    <row r="83" spans="29:43" ht="15.75" thickBot="1" x14ac:dyDescent="0.3">
      <c r="AD83" s="206"/>
      <c r="AE83" s="162" t="s">
        <v>81</v>
      </c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206"/>
    </row>
    <row r="84" spans="29:43" x14ac:dyDescent="0.25">
      <c r="AC84" s="7"/>
      <c r="AD84" s="7"/>
      <c r="AE84" s="34" t="s">
        <v>70</v>
      </c>
      <c r="AF84" s="34" t="s">
        <v>71</v>
      </c>
      <c r="AG84" s="34" t="s">
        <v>72</v>
      </c>
      <c r="AH84" s="34" t="s">
        <v>73</v>
      </c>
      <c r="AI84" s="34" t="s">
        <v>74</v>
      </c>
      <c r="AJ84" s="34" t="s">
        <v>75</v>
      </c>
      <c r="AK84" s="34" t="s">
        <v>63</v>
      </c>
      <c r="AL84" s="34" t="s">
        <v>76</v>
      </c>
      <c r="AM84" s="34" t="s">
        <v>64</v>
      </c>
      <c r="AN84" s="34" t="s">
        <v>65</v>
      </c>
      <c r="AO84" s="34" t="s">
        <v>77</v>
      </c>
      <c r="AP84" s="35" t="s">
        <v>78</v>
      </c>
      <c r="AQ84" s="200" t="s">
        <v>79</v>
      </c>
    </row>
    <row r="85" spans="29:43" x14ac:dyDescent="0.25">
      <c r="AC85" s="95">
        <v>2007</v>
      </c>
      <c r="AD85" s="207" t="s">
        <v>55</v>
      </c>
      <c r="AE85" s="208">
        <f>[3]CGES!$D$40</f>
        <v>53308.089192414918</v>
      </c>
      <c r="AF85" s="208">
        <f>[4]CGES!$D$40</f>
        <v>42870.214025802692</v>
      </c>
      <c r="AG85" s="208">
        <f>[5]CGES!$D$40</f>
        <v>52540.268609994215</v>
      </c>
      <c r="AH85" s="208">
        <f>[6]CGES!$D$40</f>
        <v>54347.724186769854</v>
      </c>
      <c r="AI85" s="208">
        <f>[7]CGES!$D$40</f>
        <v>51866.576465115635</v>
      </c>
      <c r="AJ85" s="208">
        <f>[8]CGES!$D$40</f>
        <v>57768.374214091447</v>
      </c>
      <c r="AK85" s="208">
        <f>[9]CGES!$D$40</f>
        <v>52054.252762245858</v>
      </c>
      <c r="AL85" s="208">
        <f>[10]CGES!$D$40</f>
        <v>38133.462951559355</v>
      </c>
      <c r="AM85" s="208">
        <f>[11]CGES!$D$40</f>
        <v>50127.450625584694</v>
      </c>
      <c r="AN85" s="208">
        <f>[12]CGES!$D$40</f>
        <v>46525.101732463772</v>
      </c>
      <c r="AO85" s="208">
        <f>[13]CGES!$D$40</f>
        <v>39542.238106011115</v>
      </c>
      <c r="AP85" s="209">
        <f>[14]CGES!$D$40</f>
        <v>46645.547540967716</v>
      </c>
      <c r="AQ85" s="210">
        <f>SUM(AE85:AP85)</f>
        <v>585729.30041302124</v>
      </c>
    </row>
    <row r="86" spans="29:43" x14ac:dyDescent="0.25">
      <c r="AC86" s="118"/>
      <c r="AD86" s="211" t="s">
        <v>56</v>
      </c>
      <c r="AE86" s="212">
        <f>[3]CGES!$E$40</f>
        <v>21304.289427505137</v>
      </c>
      <c r="AF86" s="212">
        <f>[4]CGES!$E$40</f>
        <v>19200.730316096422</v>
      </c>
      <c r="AG86" s="212">
        <f>[5]CGES!$E$40</f>
        <v>23714.358483266893</v>
      </c>
      <c r="AH86" s="212">
        <f>[6]CGES!$E$40</f>
        <v>23026.300692205739</v>
      </c>
      <c r="AI86" s="212">
        <f>[7]CGES!$E$40</f>
        <v>28258.717502072173</v>
      </c>
      <c r="AJ86" s="212">
        <f>[8]CGES!$E$40</f>
        <v>19829.348178641696</v>
      </c>
      <c r="AK86" s="212">
        <f>[9]CGES!$E$40</f>
        <v>22190.146535685857</v>
      </c>
      <c r="AL86" s="212">
        <f>[10]CGES!$E$40</f>
        <v>12113.737643445444</v>
      </c>
      <c r="AM86" s="212">
        <f>[11]CGES!$E$40</f>
        <v>20297.093175572099</v>
      </c>
      <c r="AN86" s="212">
        <f>[12]CGES!$E$40</f>
        <v>25952.511604577005</v>
      </c>
      <c r="AO86" s="212">
        <f>[13]CGES!$E$40</f>
        <v>21459.642178789301</v>
      </c>
      <c r="AP86" s="213">
        <f>[14]CGES!$E$40</f>
        <v>15440.150062164004</v>
      </c>
      <c r="AQ86" s="214">
        <f t="shared" ref="AQ86:AQ96" si="3">SUM(AE86:AP86)</f>
        <v>252787.02580002177</v>
      </c>
    </row>
    <row r="87" spans="29:43" x14ac:dyDescent="0.25">
      <c r="AC87" s="95">
        <v>2008</v>
      </c>
      <c r="AD87" s="207" t="s">
        <v>55</v>
      </c>
      <c r="AE87" s="208">
        <f>[15]CGES!$D$40</f>
        <v>39712.430321214306</v>
      </c>
      <c r="AF87" s="208">
        <f>[16]CGES!$D$40</f>
        <v>36407.631108684764</v>
      </c>
      <c r="AG87" s="208">
        <f>[17]CGES!$D$40</f>
        <v>38208.789518756967</v>
      </c>
      <c r="AH87" s="208">
        <f>[18]CGES!$D$40</f>
        <v>48283.721450962221</v>
      </c>
      <c r="AI87" s="208">
        <f>[19]CGES!$D$40</f>
        <v>51077.243420678162</v>
      </c>
      <c r="AJ87" s="208">
        <f>[20]CGES!$D$40</f>
        <v>38484.352054832452</v>
      </c>
      <c r="AK87" s="208">
        <f>[21]CGES!$D$40</f>
        <v>40627.29554528591</v>
      </c>
      <c r="AL87" s="208">
        <f>[22]CGES!$D$40</f>
        <v>37546.661395898307</v>
      </c>
      <c r="AM87" s="208">
        <f>[23]CGES!$D$40</f>
        <v>60209.33179923553</v>
      </c>
      <c r="AN87" s="208">
        <f>[24]CGES!$D$40</f>
        <v>39222.278596528253</v>
      </c>
      <c r="AO87" s="208">
        <f>[25]CGES!$D$40</f>
        <v>38722.88927484148</v>
      </c>
      <c r="AP87" s="209">
        <f>[26]CGES!$D$40</f>
        <v>46894.954926845436</v>
      </c>
      <c r="AQ87" s="210">
        <f t="shared" si="3"/>
        <v>515397.57941376383</v>
      </c>
    </row>
    <row r="88" spans="29:43" x14ac:dyDescent="0.25">
      <c r="AC88" s="118"/>
      <c r="AD88" s="211" t="s">
        <v>56</v>
      </c>
      <c r="AE88" s="212">
        <f>[15]CGES!E$40</f>
        <v>19862.203764757327</v>
      </c>
      <c r="AF88" s="212">
        <f>[16]CGES!$E$40</f>
        <v>23185.278642090765</v>
      </c>
      <c r="AG88" s="212">
        <f>[17]CGES!$E$40</f>
        <v>18359.336410867443</v>
      </c>
      <c r="AH88" s="212">
        <f>[18]CGES!$E$40</f>
        <v>25016.739779503627</v>
      </c>
      <c r="AI88" s="212">
        <f>[19]CGES!$E$40</f>
        <v>18012.368043785522</v>
      </c>
      <c r="AJ88" s="212">
        <f>[20]CGES!$E$40</f>
        <v>13834.990126244391</v>
      </c>
      <c r="AK88" s="212">
        <f>[21]CGES!$E$40</f>
        <v>16445.759154588293</v>
      </c>
      <c r="AL88" s="212">
        <f>[22]CGES!$E$40</f>
        <v>9795.7066009847349</v>
      </c>
      <c r="AM88" s="212">
        <f>[23]CGES!$E$40</f>
        <v>17859.785675216473</v>
      </c>
      <c r="AN88" s="212">
        <f>[24]CGES!$E$40</f>
        <v>19326.502629659641</v>
      </c>
      <c r="AO88" s="212">
        <f>[25]CGES!$E$40</f>
        <v>15096.747348018245</v>
      </c>
      <c r="AP88" s="213">
        <f>[26]CGES!$E$40</f>
        <v>16531.141539640543</v>
      </c>
      <c r="AQ88" s="214">
        <f t="shared" si="3"/>
        <v>213326.559715357</v>
      </c>
    </row>
    <row r="89" spans="29:43" x14ac:dyDescent="0.25">
      <c r="AC89" s="95">
        <v>2009</v>
      </c>
      <c r="AD89" s="207" t="s">
        <v>55</v>
      </c>
      <c r="AE89" s="208">
        <f>[27]CGES!$D$40</f>
        <v>36867.097194919334</v>
      </c>
      <c r="AF89" s="208">
        <f>[28]CGES!$D$40</f>
        <v>36566.902572773419</v>
      </c>
      <c r="AG89" s="208">
        <f>[29]CGES!$D$40</f>
        <v>44057.577181479071</v>
      </c>
      <c r="AH89" s="208">
        <f>[30]CGES!$D$40</f>
        <v>45190.527069835975</v>
      </c>
      <c r="AI89" s="208">
        <f>[31]CGES!$D$40</f>
        <v>43977.866276298257</v>
      </c>
      <c r="AJ89" s="208">
        <f>[32]CGES!$D$40</f>
        <v>46685.164366728706</v>
      </c>
      <c r="AK89" s="208">
        <f>[33]CGES!$D$40</f>
        <v>44105.278072858571</v>
      </c>
      <c r="AL89" s="208">
        <f>[34]CGES!$D$40</f>
        <v>39791.653774547267</v>
      </c>
      <c r="AM89" s="208">
        <f>[35]CGES!$D$40</f>
        <v>51175.26767227376</v>
      </c>
      <c r="AN89" s="208">
        <f>[36]CGES!$D$40</f>
        <v>40351.700344730038</v>
      </c>
      <c r="AO89" s="208">
        <f>[37]CGES!$D$40</f>
        <v>46506.894308374591</v>
      </c>
      <c r="AP89" s="209">
        <f>[38]CGES!$D$40</f>
        <v>45693.439605420092</v>
      </c>
      <c r="AQ89" s="210">
        <f t="shared" si="3"/>
        <v>520969.36844023911</v>
      </c>
    </row>
    <row r="90" spans="29:43" x14ac:dyDescent="0.25">
      <c r="AC90" s="118"/>
      <c r="AD90" s="211" t="s">
        <v>56</v>
      </c>
      <c r="AE90" s="212">
        <f>[27]CGES!$E$40</f>
        <v>16629.235229080579</v>
      </c>
      <c r="AF90" s="212">
        <f>[28]CGES!$E$40</f>
        <v>18861.554528058987</v>
      </c>
      <c r="AG90" s="212">
        <f>[29]CGES!$E$40</f>
        <v>21020.006877886168</v>
      </c>
      <c r="AH90" s="212">
        <f>[30]CGES!$E$40</f>
        <v>15720.998985375132</v>
      </c>
      <c r="AI90" s="212">
        <f>[31]CGES!$E$40</f>
        <v>18146.564510262142</v>
      </c>
      <c r="AJ90" s="212">
        <f>[32]CGES!$E$40</f>
        <v>13669.530096405206</v>
      </c>
      <c r="AK90" s="212">
        <f>[33]CGES!$E$40</f>
        <v>15979.58592435125</v>
      </c>
      <c r="AL90" s="212">
        <f>[34]CGES!$E$40</f>
        <v>8027.8440949499582</v>
      </c>
      <c r="AM90" s="212">
        <f>[35]CGES!$E$40</f>
        <v>18137.626132852838</v>
      </c>
      <c r="AN90" s="212">
        <f>[36]CGES!$E$40</f>
        <v>22195.578687854864</v>
      </c>
      <c r="AO90" s="212">
        <f>[37]CGES!$E$40</f>
        <v>21156.366342359219</v>
      </c>
      <c r="AP90" s="213">
        <f>[38]CGES!E$40</f>
        <v>15999.821220091022</v>
      </c>
      <c r="AQ90" s="214">
        <f t="shared" si="3"/>
        <v>205544.71262952738</v>
      </c>
    </row>
    <row r="91" spans="29:43" x14ac:dyDescent="0.25">
      <c r="AC91" s="95">
        <v>2010</v>
      </c>
      <c r="AD91" s="207" t="s">
        <v>55</v>
      </c>
      <c r="AE91" s="208">
        <f>[39]CGES!$D$40</f>
        <v>42371.99539081446</v>
      </c>
      <c r="AF91" s="208">
        <f>[40]CGES!$D$40</f>
        <v>49119.953591059653</v>
      </c>
      <c r="AG91" s="208">
        <f>[41]CGES!$D$40</f>
        <v>46807.650327616393</v>
      </c>
      <c r="AH91" s="208">
        <f>[42]CGES!$D$40</f>
        <v>43063.068604441956</v>
      </c>
      <c r="AI91" s="208">
        <f>[43]CGES!$D$40</f>
        <v>51701.566087244915</v>
      </c>
      <c r="AJ91" s="208">
        <f>[44]CGES!$D$40</f>
        <v>44201.684778141309</v>
      </c>
      <c r="AK91" s="208">
        <f>[45]CGES!$D$40</f>
        <v>44265.225416457048</v>
      </c>
      <c r="AL91" s="208">
        <f>[46]CGES!$D$40</f>
        <v>42401.941938259894</v>
      </c>
      <c r="AM91" s="208">
        <f>[47]CGES!$D$40</f>
        <v>35750.807942647181</v>
      </c>
      <c r="AN91" s="208">
        <f>[48]CGES!$D$40</f>
        <v>44123.495853009852</v>
      </c>
      <c r="AO91" s="208">
        <f>[49]CGES!$D$40</f>
        <v>32701.151501564964</v>
      </c>
      <c r="AP91" s="209">
        <f>[50]CGES!$D$40</f>
        <v>40936.069385642382</v>
      </c>
      <c r="AQ91" s="210">
        <f t="shared" si="3"/>
        <v>517444.61081689998</v>
      </c>
    </row>
    <row r="92" spans="29:43" x14ac:dyDescent="0.25">
      <c r="AC92" s="118"/>
      <c r="AD92" s="211" t="s">
        <v>56</v>
      </c>
      <c r="AE92" s="212">
        <f>[39]CGES!$E$40</f>
        <v>18078.551525916806</v>
      </c>
      <c r="AF92" s="212">
        <f>[40]CGES!$E$40</f>
        <v>16179.379874877764</v>
      </c>
      <c r="AG92" s="212">
        <f>[41]CGES!$E$40</f>
        <v>20876.74780291814</v>
      </c>
      <c r="AH92" s="212">
        <f>[42]CGES!$E$40</f>
        <v>19206.621494185089</v>
      </c>
      <c r="AI92" s="212">
        <f>[43]CGES!$E$40</f>
        <v>16277.578809991915</v>
      </c>
      <c r="AJ92" s="212">
        <f>[44]CGES!$E$40</f>
        <v>18598.041379696602</v>
      </c>
      <c r="AK92" s="212">
        <f>[45]CGES!$E$40</f>
        <v>13704.240436320877</v>
      </c>
      <c r="AL92" s="212">
        <f>[46]CGES!$E$40</f>
        <v>9550.2069688131451</v>
      </c>
      <c r="AM92" s="212">
        <f>[47]CGES!$E$40</f>
        <v>15020.917609943494</v>
      </c>
      <c r="AN92" s="212">
        <f>[48]CGES!$E$40</f>
        <v>19793.743334358031</v>
      </c>
      <c r="AO92" s="212">
        <f>[49]CGES!$E$40</f>
        <v>14565.153722787933</v>
      </c>
      <c r="AP92" s="213">
        <f>[50]CGES!$E$40</f>
        <v>13912.443824774895</v>
      </c>
      <c r="AQ92" s="214">
        <f t="shared" si="3"/>
        <v>195763.62678458472</v>
      </c>
    </row>
    <row r="93" spans="29:43" x14ac:dyDescent="0.25">
      <c r="AC93" s="95">
        <v>2011</v>
      </c>
      <c r="AD93" s="207" t="s">
        <v>55</v>
      </c>
      <c r="AE93" s="208">
        <f>[51]CGES!$D$40</f>
        <v>48161.322392300812</v>
      </c>
      <c r="AF93" s="208">
        <f>[52]CGES!$D$40</f>
        <v>50228.482441469045</v>
      </c>
      <c r="AG93" s="208">
        <f>[53]CGES!$D$40</f>
        <v>46146.717273905895</v>
      </c>
      <c r="AH93" s="208">
        <f>[54]CGES!$D$40</f>
        <v>42579.283672539445</v>
      </c>
      <c r="AI93" s="208">
        <f>[55]CGES!$D$40</f>
        <v>49253.033369470715</v>
      </c>
      <c r="AJ93" s="208">
        <f>[56]CGES!$D$40</f>
        <v>40802.199253212115</v>
      </c>
      <c r="AK93" s="208">
        <f>[57]CGES!$D$40</f>
        <v>39226.496560317515</v>
      </c>
      <c r="AL93" s="208">
        <f>[58]CGES!$D$40</f>
        <v>35104.278605374479</v>
      </c>
      <c r="AM93" s="208">
        <f>[59]CGES!$D$40</f>
        <v>33281.963693710284</v>
      </c>
      <c r="AN93" s="208">
        <f>[60]CGES!$D$40</f>
        <v>41455.574506688143</v>
      </c>
      <c r="AO93" s="208">
        <f>[61]CGES!$D$40</f>
        <v>42019.242550500603</v>
      </c>
      <c r="AP93" s="209">
        <f>[62]CGES!$D$40</f>
        <v>39548.030667373634</v>
      </c>
      <c r="AQ93" s="210">
        <f t="shared" si="3"/>
        <v>507806.62498686265</v>
      </c>
    </row>
    <row r="94" spans="29:43" x14ac:dyDescent="0.25">
      <c r="AC94" s="118"/>
      <c r="AD94" s="211" t="s">
        <v>56</v>
      </c>
      <c r="AE94" s="212">
        <f>[51]CGES!$E$40</f>
        <v>17050.894264390405</v>
      </c>
      <c r="AF94" s="212">
        <f>[52]CGES!$E$40</f>
        <v>17922.776543361641</v>
      </c>
      <c r="AG94" s="212">
        <f>[53]CGES!$E$40</f>
        <v>15204.5752067216</v>
      </c>
      <c r="AH94" s="212">
        <f>[54]CGES!$E$40</f>
        <v>14643.757849843216</v>
      </c>
      <c r="AI94" s="212">
        <f>[55]CGES!$E$40</f>
        <v>19252.572399405115</v>
      </c>
      <c r="AJ94" s="212">
        <f>[56]CGES!$E$40</f>
        <v>16845.861430206824</v>
      </c>
      <c r="AK94" s="212">
        <f>[57]CGES!$E$40</f>
        <v>12523.078589824934</v>
      </c>
      <c r="AL94" s="212">
        <f>[58]CGES!$E$40</f>
        <v>8194.6715844255486</v>
      </c>
      <c r="AM94" s="212">
        <f>[59]CGES!$E$40</f>
        <v>12282.929544623956</v>
      </c>
      <c r="AN94" s="212">
        <f>[60]CGES!$E$40</f>
        <v>14715.667284437142</v>
      </c>
      <c r="AO94" s="212">
        <f>[61]CGES!$E$40</f>
        <v>17141.247368272561</v>
      </c>
      <c r="AP94" s="213">
        <f>[62]CGES!$E$40</f>
        <v>13448.319141053484</v>
      </c>
      <c r="AQ94" s="214">
        <f t="shared" si="3"/>
        <v>179226.35120656641</v>
      </c>
    </row>
    <row r="95" spans="29:43" x14ac:dyDescent="0.25">
      <c r="AC95" s="95">
        <v>2012</v>
      </c>
      <c r="AD95" s="207" t="s">
        <v>55</v>
      </c>
      <c r="AE95" s="208">
        <f>[63]CGES!$D$40</f>
        <v>38586.018941240574</v>
      </c>
      <c r="AF95" s="208">
        <f>[64]CGES!$D$40</f>
        <v>49869.621118751325</v>
      </c>
      <c r="AG95" s="208">
        <f>[65]CGES!$D$40</f>
        <v>43143.83988913439</v>
      </c>
      <c r="AH95" s="208">
        <f>[66]CGES!$D$40</f>
        <v>50543.851201029829</v>
      </c>
      <c r="AI95" s="208">
        <f>[67]CGES!$D$40</f>
        <v>47835.626857452982</v>
      </c>
      <c r="AJ95" s="208">
        <f>[68]CGES!$D$40</f>
        <v>43694.206490290409</v>
      </c>
      <c r="AK95" s="208">
        <f>[69]CGES!$D$40</f>
        <v>37695.331636255069</v>
      </c>
      <c r="AL95" s="208">
        <f>[70]CGES!$D$40</f>
        <v>27626.085418039427</v>
      </c>
      <c r="AM95" s="208">
        <f>[71]CGES!$D$40</f>
        <v>38985.224293125968</v>
      </c>
      <c r="AN95" s="208">
        <f>[72]CGES!$D$40</f>
        <v>29330.798139481951</v>
      </c>
      <c r="AO95" s="208">
        <f>[73]CGES!$D$40</f>
        <v>18935.874380208195</v>
      </c>
      <c r="AP95" s="209">
        <f>[74]CGES!$D$40</f>
        <v>23059.242660088017</v>
      </c>
      <c r="AQ95" s="210">
        <f t="shared" si="3"/>
        <v>449305.72102509812</v>
      </c>
    </row>
    <row r="96" spans="29:43" ht="15.75" thickBot="1" x14ac:dyDescent="0.3">
      <c r="AC96" s="118"/>
      <c r="AD96" s="211" t="s">
        <v>56</v>
      </c>
      <c r="AE96" s="212">
        <f>[63]CGES!$E$40</f>
        <v>19942.276273359683</v>
      </c>
      <c r="AF96" s="212">
        <f>[64]CGES!$E$40</f>
        <v>14029.002052228429</v>
      </c>
      <c r="AG96" s="212">
        <f>[65]CGES!$E$40</f>
        <v>12393.634535111572</v>
      </c>
      <c r="AH96" s="212">
        <f>[66]CGES!$E$40</f>
        <v>16972.512577807083</v>
      </c>
      <c r="AI96" s="212">
        <f>[67]CGES!E$40</f>
        <v>15261.477275925365</v>
      </c>
      <c r="AJ96" s="212">
        <f>[68]CGES!$E$40</f>
        <v>12605.850786165742</v>
      </c>
      <c r="AK96" s="212">
        <f>[69]CGES!$E$40</f>
        <v>9557.467179276342</v>
      </c>
      <c r="AL96" s="212">
        <f>[70]CGES!$E$40</f>
        <v>3425.7875878901123</v>
      </c>
      <c r="AM96" s="212">
        <f>[71]CGES!$E$40</f>
        <v>18173.532687727689</v>
      </c>
      <c r="AN96" s="212">
        <f>[72]CGES!$E$40</f>
        <v>17598.751057383226</v>
      </c>
      <c r="AO96" s="212">
        <f>[73]CGES!$E$40</f>
        <v>18852.674525456565</v>
      </c>
      <c r="AP96" s="213">
        <f>[74]CGES!$E$40</f>
        <v>18451.343353065717</v>
      </c>
      <c r="AQ96" s="215">
        <f t="shared" si="3"/>
        <v>177264.30989139751</v>
      </c>
    </row>
    <row r="97" spans="29:39" x14ac:dyDescent="0.25">
      <c r="AC97" s="127"/>
    </row>
    <row r="98" spans="29:39" x14ac:dyDescent="0.25">
      <c r="AC98" s="216"/>
      <c r="AD98" s="161" t="s">
        <v>82</v>
      </c>
      <c r="AE98" s="161"/>
      <c r="AF98" s="161"/>
      <c r="AG98" s="161"/>
      <c r="AH98" s="206"/>
      <c r="AI98" s="217" t="s">
        <v>83</v>
      </c>
      <c r="AJ98" s="217"/>
      <c r="AK98" s="217"/>
      <c r="AL98" s="217"/>
      <c r="AM98" s="65" t="s">
        <v>84</v>
      </c>
    </row>
    <row r="99" spans="29:39" x14ac:dyDescent="0.25">
      <c r="AC99" s="8">
        <v>2008</v>
      </c>
      <c r="AD99" s="218">
        <v>41275</v>
      </c>
      <c r="AE99" s="34">
        <v>6146.52</v>
      </c>
      <c r="AF99" s="219" t="s">
        <v>85</v>
      </c>
      <c r="AG99" s="8">
        <f>AE100-AE99</f>
        <v>7683.4120000000003</v>
      </c>
      <c r="AI99" s="65" t="s">
        <v>86</v>
      </c>
      <c r="AJ99" s="34">
        <v>2007</v>
      </c>
      <c r="AK99" s="167">
        <f>SUM(AF37:AF42)</f>
        <v>131921</v>
      </c>
      <c r="AL99" s="134">
        <f>AVERAGE(AK99:AK104)</f>
        <v>121794.66666666667</v>
      </c>
      <c r="AM99" s="65"/>
    </row>
    <row r="100" spans="29:39" ht="15" customHeight="1" x14ac:dyDescent="0.25">
      <c r="AC100" s="8"/>
      <c r="AD100" s="218">
        <v>41639</v>
      </c>
      <c r="AE100" s="34">
        <v>13829.932000000001</v>
      </c>
      <c r="AF100" s="219"/>
      <c r="AG100" s="8"/>
      <c r="AI100" s="65"/>
      <c r="AJ100" s="34">
        <v>2008</v>
      </c>
      <c r="AK100" s="167">
        <f>SUM(AF43:AF48)</f>
        <v>129211</v>
      </c>
      <c r="AL100" s="134"/>
      <c r="AM100" s="65"/>
    </row>
    <row r="101" spans="29:39" x14ac:dyDescent="0.25">
      <c r="AC101" s="8">
        <v>2009</v>
      </c>
      <c r="AD101" s="218">
        <v>41275</v>
      </c>
      <c r="AE101" s="34">
        <v>13829.932000000001</v>
      </c>
      <c r="AF101" s="219"/>
      <c r="AG101" s="8">
        <f t="shared" ref="AG101" si="4">AE102-AE101</f>
        <v>6941.8509999999987</v>
      </c>
      <c r="AI101" s="65"/>
      <c r="AJ101" s="34">
        <v>2009</v>
      </c>
      <c r="AK101" s="167">
        <f>SUM(AF49:AF54)</f>
        <v>136045</v>
      </c>
      <c r="AL101" s="134"/>
      <c r="AM101" s="65"/>
    </row>
    <row r="102" spans="29:39" x14ac:dyDescent="0.25">
      <c r="AC102" s="8"/>
      <c r="AD102" s="218">
        <v>41639</v>
      </c>
      <c r="AE102" s="34">
        <v>20771.782999999999</v>
      </c>
      <c r="AF102" s="219"/>
      <c r="AG102" s="8"/>
      <c r="AI102" s="65"/>
      <c r="AJ102" s="34">
        <v>2010</v>
      </c>
      <c r="AK102" s="167">
        <f>SUM(AF55:AF60)</f>
        <v>125193</v>
      </c>
      <c r="AL102" s="134"/>
      <c r="AM102" s="65"/>
    </row>
    <row r="103" spans="29:39" x14ac:dyDescent="0.25">
      <c r="AC103" s="8">
        <v>2010</v>
      </c>
      <c r="AD103" s="218">
        <v>41275</v>
      </c>
      <c r="AE103" s="34">
        <v>20771.782999999999</v>
      </c>
      <c r="AF103" s="219"/>
      <c r="AG103" s="8">
        <f t="shared" ref="AG103" si="5">AE104-AE103</f>
        <v>6611.4959999999992</v>
      </c>
      <c r="AI103" s="65"/>
      <c r="AJ103" s="34">
        <v>2011</v>
      </c>
      <c r="AK103" s="167">
        <f>SUM(AF61:AF66)</f>
        <v>117125</v>
      </c>
      <c r="AL103" s="134"/>
      <c r="AM103" s="65"/>
    </row>
    <row r="104" spans="29:39" x14ac:dyDescent="0.25">
      <c r="AC104" s="8"/>
      <c r="AD104" s="218">
        <v>41639</v>
      </c>
      <c r="AE104" s="34">
        <v>27383.278999999999</v>
      </c>
      <c r="AF104" s="219"/>
      <c r="AG104" s="8"/>
      <c r="AI104" s="65"/>
      <c r="AJ104" s="34">
        <v>2012</v>
      </c>
      <c r="AK104" s="167">
        <f>SUM(AF67:AF72)</f>
        <v>91273</v>
      </c>
      <c r="AL104" s="134"/>
      <c r="AM104" s="65"/>
    </row>
    <row r="105" spans="29:39" x14ac:dyDescent="0.25">
      <c r="AC105" s="8">
        <v>2011</v>
      </c>
      <c r="AD105" s="218">
        <v>41275</v>
      </c>
      <c r="AE105" s="34">
        <v>27383.278999999999</v>
      </c>
      <c r="AF105" s="219"/>
      <c r="AG105" s="8">
        <f t="shared" ref="AG105" si="6">AE106-AE105</f>
        <v>6209.6660000000011</v>
      </c>
      <c r="AI105" s="8" t="s">
        <v>87</v>
      </c>
      <c r="AJ105" s="8"/>
      <c r="AK105" s="8"/>
      <c r="AL105" s="167">
        <f>AVERAGE(AH37,AH43,AH49,AH55,AH61,AH67)</f>
        <v>90571.165179872027</v>
      </c>
      <c r="AM105" s="65"/>
    </row>
    <row r="106" spans="29:39" x14ac:dyDescent="0.25">
      <c r="AC106" s="8"/>
      <c r="AD106" s="218">
        <v>41639</v>
      </c>
      <c r="AE106" s="34">
        <v>33592.945</v>
      </c>
      <c r="AF106" s="219"/>
      <c r="AG106" s="8"/>
    </row>
    <row r="107" spans="29:39" x14ac:dyDescent="0.25">
      <c r="AC107" s="8">
        <v>2012</v>
      </c>
      <c r="AD107" s="218">
        <v>41275</v>
      </c>
      <c r="AE107" s="34">
        <v>33592.945</v>
      </c>
      <c r="AF107" s="219"/>
      <c r="AG107" s="8">
        <f t="shared" ref="AG107" si="7">AE108-AE107</f>
        <v>4046.3640000000014</v>
      </c>
    </row>
    <row r="108" spans="29:39" x14ac:dyDescent="0.25">
      <c r="AC108" s="8"/>
      <c r="AD108" s="218">
        <v>41639</v>
      </c>
      <c r="AE108" s="34">
        <v>37639.309000000001</v>
      </c>
      <c r="AF108" s="219"/>
      <c r="AG108" s="8"/>
    </row>
    <row r="110" spans="29:39" x14ac:dyDescent="0.25">
      <c r="AC110" s="220"/>
      <c r="AD110" s="220"/>
      <c r="AE110" s="161" t="s">
        <v>88</v>
      </c>
      <c r="AF110" s="161"/>
      <c r="AG110" s="161"/>
      <c r="AH110" s="161"/>
      <c r="AI110" s="161"/>
      <c r="AJ110" s="161"/>
    </row>
    <row r="111" spans="29:39" x14ac:dyDescent="0.25">
      <c r="AC111" s="7"/>
      <c r="AD111" s="7"/>
      <c r="AE111" s="34" t="s">
        <v>24</v>
      </c>
      <c r="AF111" s="34" t="s">
        <v>89</v>
      </c>
      <c r="AG111" s="34" t="s">
        <v>90</v>
      </c>
      <c r="AH111" s="34" t="s">
        <v>91</v>
      </c>
      <c r="AI111" s="34" t="s">
        <v>92</v>
      </c>
      <c r="AJ111" s="34" t="s">
        <v>93</v>
      </c>
    </row>
    <row r="112" spans="29:39" x14ac:dyDescent="0.25">
      <c r="AC112" s="8" t="s">
        <v>94</v>
      </c>
      <c r="AD112" s="221" t="s">
        <v>95</v>
      </c>
      <c r="AE112" s="97">
        <f>[74]UTAS!$E$11</f>
        <v>1603.9779556777951</v>
      </c>
      <c r="AF112" s="222">
        <f>[74]UTAS!$B$11</f>
        <v>40</v>
      </c>
      <c r="AG112" s="97">
        <f>AE112/AF112</f>
        <v>40.099448891944874</v>
      </c>
      <c r="AH112" s="223">
        <f>AVERAGE(AG112:AG113)</f>
        <v>28.332396473349789</v>
      </c>
      <c r="AI112" s="223">
        <f>AH112*3</f>
        <v>84.997189420049367</v>
      </c>
      <c r="AJ112" s="223">
        <f>SUM(AI112,AI114)</f>
        <v>140.99718942004938</v>
      </c>
    </row>
    <row r="113" spans="29:36" x14ac:dyDescent="0.25">
      <c r="AC113" s="8"/>
      <c r="AD113" s="222" t="s">
        <v>96</v>
      </c>
      <c r="AE113" s="97">
        <f>[69]UTAS!$E$11</f>
        <v>579.78704191641464</v>
      </c>
      <c r="AF113" s="222">
        <f>[69]UTAS!$B$11</f>
        <v>35</v>
      </c>
      <c r="AG113" s="97">
        <f>AE113/AF113</f>
        <v>16.565344054754704</v>
      </c>
      <c r="AH113" s="223"/>
      <c r="AI113" s="223"/>
      <c r="AJ113" s="223"/>
    </row>
    <row r="114" spans="29:36" x14ac:dyDescent="0.25">
      <c r="AC114" s="26" t="s">
        <v>97</v>
      </c>
      <c r="AD114" s="27"/>
      <c r="AE114" s="27"/>
      <c r="AF114" s="27"/>
      <c r="AG114" s="27"/>
      <c r="AH114" s="32"/>
      <c r="AI114" s="97">
        <v>56</v>
      </c>
      <c r="AJ114" s="223"/>
    </row>
    <row r="115" spans="29:36" x14ac:dyDescent="0.25">
      <c r="AC115" s="8" t="s">
        <v>16</v>
      </c>
      <c r="AD115" s="222">
        <v>2011</v>
      </c>
      <c r="AE115" s="222">
        <v>2012</v>
      </c>
      <c r="AF115" s="224"/>
      <c r="AG115" s="7"/>
      <c r="AH115" s="7"/>
      <c r="AI115" s="7"/>
      <c r="AJ115" s="7"/>
    </row>
    <row r="116" spans="29:36" x14ac:dyDescent="0.25">
      <c r="AC116" s="8"/>
      <c r="AD116" s="34">
        <v>13</v>
      </c>
      <c r="AE116" s="34">
        <v>10</v>
      </c>
      <c r="AF116" s="7"/>
      <c r="AG116" s="7"/>
      <c r="AH116" s="7"/>
      <c r="AI116" s="7"/>
      <c r="AJ116" s="7"/>
    </row>
    <row r="117" spans="29:36" x14ac:dyDescent="0.25">
      <c r="AC117" s="34" t="s">
        <v>11</v>
      </c>
      <c r="AD117" s="140">
        <f>AD116*AJ112</f>
        <v>1832.9634624606419</v>
      </c>
      <c r="AE117" s="140">
        <f>AJ112*AE116</f>
        <v>1409.9718942004938</v>
      </c>
      <c r="AF117" s="7"/>
      <c r="AG117" s="7"/>
      <c r="AH117" s="7"/>
      <c r="AI117" s="7"/>
      <c r="AJ117" s="7"/>
    </row>
    <row r="118" spans="29:36" x14ac:dyDescent="0.25">
      <c r="AC118" s="7"/>
      <c r="AD118" s="7"/>
      <c r="AE118" s="7"/>
      <c r="AF118" s="7"/>
      <c r="AG118" s="7"/>
      <c r="AH118" s="7"/>
      <c r="AI118" s="7"/>
      <c r="AJ118" s="7"/>
    </row>
    <row r="119" spans="29:36" x14ac:dyDescent="0.25">
      <c r="AC119" s="7"/>
      <c r="AD119" s="7"/>
      <c r="AE119" s="7"/>
      <c r="AF119" s="7"/>
      <c r="AG119" s="7"/>
      <c r="AH119" s="7"/>
      <c r="AI119" s="7"/>
      <c r="AJ119" s="7"/>
    </row>
    <row r="146" spans="29:43" x14ac:dyDescent="0.25">
      <c r="AC146" s="216"/>
      <c r="AD146" s="47"/>
      <c r="AE146" s="225"/>
      <c r="AF146" s="225"/>
      <c r="AG146" s="225"/>
      <c r="AH146" s="225"/>
      <c r="AI146" s="225"/>
      <c r="AJ146" s="225"/>
      <c r="AK146" s="225"/>
      <c r="AL146" s="225"/>
      <c r="AM146" s="225"/>
      <c r="AN146" s="225"/>
      <c r="AO146" s="225"/>
      <c r="AP146" s="225"/>
      <c r="AQ146" s="225"/>
    </row>
    <row r="147" spans="29:43" x14ac:dyDescent="0.25">
      <c r="AC147" s="216"/>
      <c r="AD147" s="47"/>
      <c r="AE147" s="225"/>
      <c r="AF147" s="225"/>
      <c r="AG147" s="225"/>
      <c r="AH147" s="225"/>
      <c r="AI147" s="225"/>
      <c r="AJ147" s="225"/>
      <c r="AK147" s="225"/>
      <c r="AL147" s="225"/>
      <c r="AM147" s="225"/>
      <c r="AN147" s="225"/>
      <c r="AO147" s="225"/>
      <c r="AP147" s="225"/>
      <c r="AQ147" s="225"/>
    </row>
  </sheetData>
  <sheetProtection password="A926" sheet="1" formatCells="0" formatColumns="0" formatRows="0" insertColumns="0" insertRows="0" insertHyperlinks="0" deleteColumns="0" deleteRows="0" sort="0" autoFilter="0" pivotTables="0"/>
  <mergeCells count="305">
    <mergeCell ref="AC115:AC116"/>
    <mergeCell ref="AE110:AJ110"/>
    <mergeCell ref="AC112:AC113"/>
    <mergeCell ref="AH112:AH113"/>
    <mergeCell ref="AI112:AI113"/>
    <mergeCell ref="AJ112:AJ114"/>
    <mergeCell ref="AC114:AH114"/>
    <mergeCell ref="AC103:AC104"/>
    <mergeCell ref="AG103:AG104"/>
    <mergeCell ref="AC105:AC106"/>
    <mergeCell ref="AG105:AG106"/>
    <mergeCell ref="AI105:AK105"/>
    <mergeCell ref="AC107:AC108"/>
    <mergeCell ref="AG107:AG108"/>
    <mergeCell ref="AD98:AG98"/>
    <mergeCell ref="AI98:AL98"/>
    <mergeCell ref="AM98:AM105"/>
    <mergeCell ref="AC99:AC100"/>
    <mergeCell ref="AF99:AF108"/>
    <mergeCell ref="AG99:AG100"/>
    <mergeCell ref="AI99:AI104"/>
    <mergeCell ref="AL99:AL104"/>
    <mergeCell ref="AC101:AC102"/>
    <mergeCell ref="AG101:AG102"/>
    <mergeCell ref="AC85:AC86"/>
    <mergeCell ref="AC87:AC88"/>
    <mergeCell ref="AC89:AC90"/>
    <mergeCell ref="AC91:AC92"/>
    <mergeCell ref="AC93:AC94"/>
    <mergeCell ref="AC95:AC96"/>
    <mergeCell ref="AI67:AI72"/>
    <mergeCell ref="AJ67:AJ72"/>
    <mergeCell ref="AL67:AL72"/>
    <mergeCell ref="AE74:AP74"/>
    <mergeCell ref="AD76:AD81"/>
    <mergeCell ref="AE83:AP83"/>
    <mergeCell ref="AI49:AI54"/>
    <mergeCell ref="F66:F76"/>
    <mergeCell ref="G66:G76"/>
    <mergeCell ref="I66:I76"/>
    <mergeCell ref="AD67:AD72"/>
    <mergeCell ref="AG67:AG72"/>
    <mergeCell ref="AH67:AH72"/>
    <mergeCell ref="AL55:AL60"/>
    <mergeCell ref="G56:G65"/>
    <mergeCell ref="I56:I65"/>
    <mergeCell ref="AD61:AD66"/>
    <mergeCell ref="AG61:AG66"/>
    <mergeCell ref="AH61:AH66"/>
    <mergeCell ref="AI61:AI66"/>
    <mergeCell ref="AJ61:AJ66"/>
    <mergeCell ref="AL61:AL66"/>
    <mergeCell ref="AI43:AI45"/>
    <mergeCell ref="AJ43:AJ45"/>
    <mergeCell ref="AL43:AL48"/>
    <mergeCell ref="G45:J45"/>
    <mergeCell ref="F46:F65"/>
    <mergeCell ref="G46:G48"/>
    <mergeCell ref="J46:J48"/>
    <mergeCell ref="AG46:AG48"/>
    <mergeCell ref="AH46:AJ48"/>
    <mergeCell ref="AJ49:AJ54"/>
    <mergeCell ref="AL49:AL54"/>
    <mergeCell ref="G52:I52"/>
    <mergeCell ref="G53:G55"/>
    <mergeCell ref="I53:I55"/>
    <mergeCell ref="AD55:AD60"/>
    <mergeCell ref="AG55:AG60"/>
    <mergeCell ref="AH55:AH60"/>
    <mergeCell ref="AI55:AI60"/>
    <mergeCell ref="AJ55:AJ60"/>
    <mergeCell ref="G49:G51"/>
    <mergeCell ref="J49:J51"/>
    <mergeCell ref="AD49:AD54"/>
    <mergeCell ref="AG49:AG54"/>
    <mergeCell ref="AH49:AH54"/>
    <mergeCell ref="AH37:AH39"/>
    <mergeCell ref="AI37:AI39"/>
    <mergeCell ref="AJ37:AJ39"/>
    <mergeCell ref="AK37:AK72"/>
    <mergeCell ref="AL37:AL42"/>
    <mergeCell ref="L40:L41"/>
    <mergeCell ref="AG40:AG42"/>
    <mergeCell ref="AH40:AJ42"/>
    <mergeCell ref="A43:M43"/>
    <mergeCell ref="AD43:AD48"/>
    <mergeCell ref="K37:K39"/>
    <mergeCell ref="L37:L39"/>
    <mergeCell ref="M37:M39"/>
    <mergeCell ref="AC37:AC72"/>
    <mergeCell ref="AD37:AD42"/>
    <mergeCell ref="AG37:AG39"/>
    <mergeCell ref="AG43:AG45"/>
    <mergeCell ref="B37:B39"/>
    <mergeCell ref="C37:C39"/>
    <mergeCell ref="D37:D39"/>
    <mergeCell ref="E37:E39"/>
    <mergeCell ref="I37:I39"/>
    <mergeCell ref="J37:J39"/>
    <mergeCell ref="AH43:AH45"/>
    <mergeCell ref="B32:B36"/>
    <mergeCell ref="C32:C36"/>
    <mergeCell ref="E32:E36"/>
    <mergeCell ref="I32:I36"/>
    <mergeCell ref="J32:J36"/>
    <mergeCell ref="K32:K36"/>
    <mergeCell ref="L32:L36"/>
    <mergeCell ref="M32:M36"/>
    <mergeCell ref="AC33:AX33"/>
    <mergeCell ref="AQ24:AQ27"/>
    <mergeCell ref="AR24:AR27"/>
    <mergeCell ref="AS24:AS27"/>
    <mergeCell ref="AT24:AT27"/>
    <mergeCell ref="AN24:AN27"/>
    <mergeCell ref="AO24:AO27"/>
    <mergeCell ref="AP24:AP27"/>
    <mergeCell ref="F35:H36"/>
    <mergeCell ref="AE35:AL35"/>
    <mergeCell ref="AN35:AX35"/>
    <mergeCell ref="AE36:AF36"/>
    <mergeCell ref="AG36:AH36"/>
    <mergeCell ref="AI36:AJ36"/>
    <mergeCell ref="AK36:AL36"/>
    <mergeCell ref="AT28:AT31"/>
    <mergeCell ref="AN28:AN31"/>
    <mergeCell ref="AO28:AO31"/>
    <mergeCell ref="AP28:AP31"/>
    <mergeCell ref="AQ28:AQ31"/>
    <mergeCell ref="AR28:AR31"/>
    <mergeCell ref="AS28:AS31"/>
    <mergeCell ref="K28:K30"/>
    <mergeCell ref="B28:B31"/>
    <mergeCell ref="C28:C31"/>
    <mergeCell ref="D28:D31"/>
    <mergeCell ref="E28:E31"/>
    <mergeCell ref="I28:I31"/>
    <mergeCell ref="J28:J31"/>
    <mergeCell ref="AC24:AC27"/>
    <mergeCell ref="AL24:AL27"/>
    <mergeCell ref="AM24:AM27"/>
    <mergeCell ref="L28:L30"/>
    <mergeCell ref="M28:M30"/>
    <mergeCell ref="AC28:AC31"/>
    <mergeCell ref="AL28:AL31"/>
    <mergeCell ref="AM28:AM31"/>
    <mergeCell ref="AT20:AT23"/>
    <mergeCell ref="AV20:AX20"/>
    <mergeCell ref="X23:X24"/>
    <mergeCell ref="D24:D27"/>
    <mergeCell ref="E24:E27"/>
    <mergeCell ref="I24:I27"/>
    <mergeCell ref="J24:J27"/>
    <mergeCell ref="K24:K26"/>
    <mergeCell ref="L24:L26"/>
    <mergeCell ref="M24:M26"/>
    <mergeCell ref="AN20:AN23"/>
    <mergeCell ref="AO20:AO23"/>
    <mergeCell ref="AP20:AP23"/>
    <mergeCell ref="AQ20:AQ23"/>
    <mergeCell ref="AR20:AR23"/>
    <mergeCell ref="AS20:AS23"/>
    <mergeCell ref="W20:W22"/>
    <mergeCell ref="X20:X22"/>
    <mergeCell ref="Y20:Y22"/>
    <mergeCell ref="AC20:AC23"/>
    <mergeCell ref="AL20:AL23"/>
    <mergeCell ref="AM20:AM23"/>
    <mergeCell ref="K20:K22"/>
    <mergeCell ref="L20:L22"/>
    <mergeCell ref="M20:M22"/>
    <mergeCell ref="Q20:Q22"/>
    <mergeCell ref="R20:R22"/>
    <mergeCell ref="S20:S22"/>
    <mergeCell ref="B20:B27"/>
    <mergeCell ref="C20:C27"/>
    <mergeCell ref="D20:D23"/>
    <mergeCell ref="E20:E23"/>
    <mergeCell ref="I20:I23"/>
    <mergeCell ref="J20:J23"/>
    <mergeCell ref="W17:W19"/>
    <mergeCell ref="X17:X19"/>
    <mergeCell ref="Y17:Y19"/>
    <mergeCell ref="AV17:AX17"/>
    <mergeCell ref="AV18:AX18"/>
    <mergeCell ref="AV19:AX19"/>
    <mergeCell ref="AP16:AP19"/>
    <mergeCell ref="AQ16:AQ19"/>
    <mergeCell ref="AR16:AR19"/>
    <mergeCell ref="AS16:AS19"/>
    <mergeCell ref="AT16:AT19"/>
    <mergeCell ref="AV16:AX16"/>
    <mergeCell ref="W14:W16"/>
    <mergeCell ref="X14:X16"/>
    <mergeCell ref="Y14:Y16"/>
    <mergeCell ref="AV14:AX14"/>
    <mergeCell ref="AV15:AX15"/>
    <mergeCell ref="AC16:AC19"/>
    <mergeCell ref="AL16:AL19"/>
    <mergeCell ref="AM16:AM19"/>
    <mergeCell ref="AN16:AN19"/>
    <mergeCell ref="AO16:AO19"/>
    <mergeCell ref="AQ12:AQ15"/>
    <mergeCell ref="AR12:AR15"/>
    <mergeCell ref="AS12:AS15"/>
    <mergeCell ref="AT12:AT15"/>
    <mergeCell ref="AV13:AY13"/>
    <mergeCell ref="B14:B19"/>
    <mergeCell ref="D14:D16"/>
    <mergeCell ref="E14:E19"/>
    <mergeCell ref="I14:I19"/>
    <mergeCell ref="J14:J19"/>
    <mergeCell ref="AF12:AF15"/>
    <mergeCell ref="AL12:AL15"/>
    <mergeCell ref="AM12:AM15"/>
    <mergeCell ref="AN12:AN15"/>
    <mergeCell ref="AO12:AO15"/>
    <mergeCell ref="AP12:AP15"/>
    <mergeCell ref="K11:K13"/>
    <mergeCell ref="L11:L13"/>
    <mergeCell ref="M11:M13"/>
    <mergeCell ref="Q11:Q13"/>
    <mergeCell ref="R11:R13"/>
    <mergeCell ref="S11:S13"/>
    <mergeCell ref="AQ8:AQ11"/>
    <mergeCell ref="AR8:AR11"/>
    <mergeCell ref="AS8:AS11"/>
    <mergeCell ref="AT8:AT11"/>
    <mergeCell ref="AV8:AV11"/>
    <mergeCell ref="B11:B13"/>
    <mergeCell ref="D11:D13"/>
    <mergeCell ref="E11:E13"/>
    <mergeCell ref="I11:I13"/>
    <mergeCell ref="J11:J13"/>
    <mergeCell ref="AH8:AH15"/>
    <mergeCell ref="AL8:AL11"/>
    <mergeCell ref="AM8:AM11"/>
    <mergeCell ref="AN8:AN11"/>
    <mergeCell ref="AO8:AO11"/>
    <mergeCell ref="AP8:AP11"/>
    <mergeCell ref="T8:T22"/>
    <mergeCell ref="W8:W10"/>
    <mergeCell ref="X8:X10"/>
    <mergeCell ref="Y8:Y10"/>
    <mergeCell ref="AC8:AC11"/>
    <mergeCell ref="AF8:AF11"/>
    <mergeCell ref="W11:W13"/>
    <mergeCell ref="X11:X13"/>
    <mergeCell ref="Y11:Y13"/>
    <mergeCell ref="AC12:AC15"/>
    <mergeCell ref="K8:K10"/>
    <mergeCell ref="L8:L10"/>
    <mergeCell ref="M8:M10"/>
    <mergeCell ref="Q8:Q10"/>
    <mergeCell ref="R8:R10"/>
    <mergeCell ref="S8:S10"/>
    <mergeCell ref="B8:B10"/>
    <mergeCell ref="C8:C19"/>
    <mergeCell ref="D8:D10"/>
    <mergeCell ref="E8:E10"/>
    <mergeCell ref="I8:I10"/>
    <mergeCell ref="J8:J10"/>
    <mergeCell ref="D17:D19"/>
    <mergeCell ref="K14:K19"/>
    <mergeCell ref="L14:L19"/>
    <mergeCell ref="M14:M19"/>
    <mergeCell ref="Q14:Q16"/>
    <mergeCell ref="R14:R16"/>
    <mergeCell ref="S14:S16"/>
    <mergeCell ref="Q17:Q19"/>
    <mergeCell ref="R17:R19"/>
    <mergeCell ref="S17:S19"/>
    <mergeCell ref="AP6:AQ6"/>
    <mergeCell ref="AR6:AR7"/>
    <mergeCell ref="AS6:AS7"/>
    <mergeCell ref="AT6:AT7"/>
    <mergeCell ref="AD6:AF6"/>
    <mergeCell ref="AG6:AG7"/>
    <mergeCell ref="AH6:AH7"/>
    <mergeCell ref="AI6:AI7"/>
    <mergeCell ref="AJ6:AL6"/>
    <mergeCell ref="AM6:AM7"/>
    <mergeCell ref="B2:M3"/>
    <mergeCell ref="Q2:Y3"/>
    <mergeCell ref="AC2:AX3"/>
    <mergeCell ref="F5:H5"/>
    <mergeCell ref="I5:J6"/>
    <mergeCell ref="K5:M5"/>
    <mergeCell ref="W5:Y5"/>
    <mergeCell ref="AG5:AI5"/>
    <mergeCell ref="AM5:AO5"/>
    <mergeCell ref="AR5:AT5"/>
    <mergeCell ref="L6:L7"/>
    <mergeCell ref="M6:M7"/>
    <mergeCell ref="U6:V6"/>
    <mergeCell ref="W6:W7"/>
    <mergeCell ref="X6:X7"/>
    <mergeCell ref="Y6:Y7"/>
    <mergeCell ref="B6:B7"/>
    <mergeCell ref="C6:C7"/>
    <mergeCell ref="D6:D7"/>
    <mergeCell ref="E6:E7"/>
    <mergeCell ref="F6:G6"/>
    <mergeCell ref="K6:K7"/>
    <mergeCell ref="AN6:AN7"/>
    <mergeCell ref="AO6:AO7"/>
  </mergeCells>
  <pageMargins left="0.7" right="0.7" top="0.75" bottom="0.75" header="0.3" footer="0.3"/>
  <pageSetup paperSize="9" orientation="landscape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</dc:creator>
  <cp:lastModifiedBy>Nuno</cp:lastModifiedBy>
  <dcterms:created xsi:type="dcterms:W3CDTF">2014-03-05T01:13:21Z</dcterms:created>
  <dcterms:modified xsi:type="dcterms:W3CDTF">2014-04-26T19:48:20Z</dcterms:modified>
</cp:coreProperties>
</file>